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80" windowHeight="11640" tabRatio="598" activeTab="3"/>
  </bookViews>
  <sheets>
    <sheet name="UNICE" sheetId="1" r:id="rId1"/>
    <sheet name="PENS" sheetId="2" r:id="rId2"/>
    <sheet name="pensionar CV" sheetId="3" r:id="rId3"/>
    <sheet name="DIABET" sheetId="4" r:id="rId4"/>
    <sheet name="INS" sheetId="5" r:id="rId5"/>
    <sheet name="MIXT" sheetId="6" r:id="rId6"/>
    <sheet name="TESTE" sheetId="7" r:id="rId7"/>
    <sheet name="COST VOLUM ONCO" sheetId="8" r:id="rId8"/>
    <sheet name="ONCO" sheetId="9" r:id="rId9"/>
    <sheet name="POSTT" sheetId="10" r:id="rId10"/>
    <sheet name="SCLEROZ" sheetId="11" r:id="rId11"/>
    <sheet name="CV UNICE" sheetId="12" r:id="rId12"/>
    <sheet name="MUCOV" sheetId="13" r:id="rId13"/>
  </sheets>
  <definedNames>
    <definedName name="_xlnm.Print_Area" localSheetId="7">'COST VOLUM ONCO'!$A$1:$I$41</definedName>
    <definedName name="_xlnm.Print_Area" localSheetId="11">'CV UNICE'!$A$1:$H$41</definedName>
  </definedNames>
  <calcPr fullCalcOnLoad="1"/>
</workbook>
</file>

<file path=xl/sharedStrings.xml><?xml version="1.0" encoding="utf-8"?>
<sst xmlns="http://schemas.openxmlformats.org/spreadsheetml/2006/main" count="549" uniqueCount="92">
  <si>
    <t>Nr.crt.</t>
  </si>
  <si>
    <t>Denumirea unitatii</t>
  </si>
  <si>
    <t>Lista A</t>
  </si>
  <si>
    <t>Lista B</t>
  </si>
  <si>
    <t>Lista C1</t>
  </si>
  <si>
    <t>Lista C3</t>
  </si>
  <si>
    <t>ADONIS</t>
  </si>
  <si>
    <t xml:space="preserve">RICHTER GEDEON </t>
  </si>
  <si>
    <t>FARMA-LINE</t>
  </si>
  <si>
    <t>KOL-KING</t>
  </si>
  <si>
    <t>MEDICOM</t>
  </si>
  <si>
    <t>SALVIA</t>
  </si>
  <si>
    <t>TRANSFARM</t>
  </si>
  <si>
    <t>AMBROSIA</t>
  </si>
  <si>
    <t>SIEPCOFAR-DONA</t>
  </si>
  <si>
    <t>SALVATOR</t>
  </si>
  <si>
    <t>MARIA</t>
  </si>
  <si>
    <t>HERMANN</t>
  </si>
  <si>
    <t>FARMIRA</t>
  </si>
  <si>
    <t>APOLLON</t>
  </si>
  <si>
    <t>AESKULAP</t>
  </si>
  <si>
    <t>VIPERA</t>
  </si>
  <si>
    <t xml:space="preserve">FARMACOM </t>
  </si>
  <si>
    <t>PAULA</t>
  </si>
  <si>
    <t>HYPERNOVA DALIA</t>
  </si>
  <si>
    <t>SENSI BLUE</t>
  </si>
  <si>
    <t>HELP NET</t>
  </si>
  <si>
    <t>SZENT ANNA</t>
  </si>
  <si>
    <t>MOHOS</t>
  </si>
  <si>
    <t>CATENA</t>
  </si>
  <si>
    <t>SQUARE</t>
  </si>
  <si>
    <t>TOTAL GENERAL</t>
  </si>
  <si>
    <t>Consum MED.50%CNAS</t>
  </si>
  <si>
    <t>Consum MED.40%M.S.</t>
  </si>
  <si>
    <t xml:space="preserve">Consum PENSIONARI  </t>
  </si>
  <si>
    <t>Consum DIABET</t>
  </si>
  <si>
    <t>MIXT</t>
  </si>
  <si>
    <t>Diabet</t>
  </si>
  <si>
    <t xml:space="preserve">Insuline </t>
  </si>
  <si>
    <t>Consum mixt</t>
  </si>
  <si>
    <t>MISS B.PHARMA</t>
  </si>
  <si>
    <t>LOTUS PHARMA</t>
  </si>
  <si>
    <t>ECOFARMACIA NETWORK</t>
  </si>
  <si>
    <t>Total consum unice</t>
  </si>
  <si>
    <t>KINCSOPHARM</t>
  </si>
  <si>
    <t>KAMILLA PLUS</t>
  </si>
  <si>
    <t>Lista D</t>
  </si>
  <si>
    <t>ARNIKAPOTHEQ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</si>
  <si>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</si>
  <si>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</si>
  <si>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</si>
  <si>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</si>
  <si>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</si>
  <si>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</si>
  <si>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</si>
  <si>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</si>
  <si>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</si>
  <si>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 xml:space="preserve">Total consum unice fara MSS </t>
  </si>
  <si>
    <t>TOTAL  MSS</t>
  </si>
  <si>
    <t>KOVAPROD</t>
  </si>
  <si>
    <t>BRETCU</t>
  </si>
  <si>
    <t>LENA FARMACEUTICA</t>
  </si>
  <si>
    <t>IANUARIE</t>
  </si>
  <si>
    <t>TEST ADULT</t>
  </si>
  <si>
    <t>TEST COPII</t>
  </si>
  <si>
    <t>Consum INSULINA</t>
  </si>
  <si>
    <t>CONSUM ONCO COST VOLUM</t>
  </si>
  <si>
    <t>MUCOVISCIDOZA ADULT</t>
  </si>
  <si>
    <t>MUCOVISCIDOZA COPII</t>
  </si>
  <si>
    <t>ONCOLOGIE</t>
  </si>
  <si>
    <t xml:space="preserve">CONSUM </t>
  </si>
  <si>
    <t>ELPISBIOFARMA</t>
  </si>
  <si>
    <t>G3</t>
  </si>
  <si>
    <t>G1</t>
  </si>
  <si>
    <t>MED CV LISTA B</t>
  </si>
  <si>
    <t>TOTAL UNICE CV</t>
  </si>
  <si>
    <t>G11</t>
  </si>
  <si>
    <t>G26</t>
  </si>
  <si>
    <t>Consum PENSIONARI COST VOLUM</t>
  </si>
  <si>
    <t>SITUATIA CONSUMULUI DE MEDICAMENTE IN LUNA SEPTEMBRIE 2020</t>
  </si>
  <si>
    <t>SITUATIA CONSUMULUI DE MEDIC. PENTRU UNICE COST VOLUM   LUNA SEPTEMBRIE 2020</t>
  </si>
  <si>
    <t>SITUATIA CONSUMULUI DE MEDICAMENTE PENTRU DIABET   LUNA SEPTEMBRIE 2020</t>
  </si>
  <si>
    <t>SITUATIA CONSUMULUI DE MEDICAMENTE PENTRU INSULINE LUNA SEPTEMBRIE 2020</t>
  </si>
  <si>
    <t>SITUATIA CONSUMULUI DE MEDICAMENTE PENTRU ONCOLOGIE  LUNA SEPTEMBRIE 2020</t>
  </si>
  <si>
    <t>SITUATIA CONSUMULUI DE MEDICAMENTE PENTRU PNS COST VOLUM   LUNA SEPTEMBRIE 2020</t>
  </si>
  <si>
    <t>SITUATIA CONSUMULUI DE MEDICAMENTE LA STARI MUCOVISCIDOZA SEPTEMBRIE 2020</t>
  </si>
  <si>
    <t>SITUATIA CONSUMULUI DE MEDICAMENTE PENTRU SCLEROZA   LUNA SEPTEMBRIE 2020</t>
  </si>
  <si>
    <t>SITUATIA CONSUMULUI DE MEDICAMENTE LA STARI POSTTRANSPLANT SEPTEMBRIE 2020</t>
  </si>
  <si>
    <t>SITUATIA CONSUMULUI DE MEDICAMENTE LA  DIABET SI INSULINE SEPTEMBRIE 2020</t>
  </si>
  <si>
    <t>SITUATIA CONSUMULUI LA TESTE PENTRU LUNA SEPTEMBRIE 2020</t>
  </si>
  <si>
    <t>SITUATIA CONSUMULUI DE MEDICAMENTE PENTRU PENSIONARI PANA LA 1299 LEI PENSIONARI 2020</t>
  </si>
  <si>
    <t>SITUATIA CONSUMULUI DE MEDICAMENTE COST VOLUM PENTRU PENSIONARI  PANA LA 1299 LEI PENSIONARI 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</si>
</sst>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8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2" borderId="0" xfId="0" applyFont="1" applyFill="1" applyAlignment="1">
      <alignment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0" fontId="11" fillId="0" borderId="0" xfId="0" applyFont="1" applyAlignment="1">
      <alignment/>
    </xf>
    <xf numFmtId="4" fontId="12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 shrinkToFit="1"/>
    </xf>
    <xf numFmtId="4" fontId="11" fillId="0" borderId="1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/>
    </xf>
    <xf numFmtId="4" fontId="2" fillId="2" borderId="2" xfId="0" applyNumberFormat="1" applyFont="1" applyFill="1" applyBorder="1" applyAlignment="1">
      <alignment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1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8" fillId="2" borderId="1" xfId="0" applyNumberFormat="1" applyFont="1" applyFill="1" applyBorder="1" applyAlignment="1">
      <alignment horizontal="left"/>
    </xf>
    <xf numFmtId="4" fontId="13" fillId="0" borderId="1" xfId="0" applyNumberFormat="1" applyFont="1" applyBorder="1" applyAlignment="1">
      <alignment/>
    </xf>
    <xf numFmtId="4" fontId="13" fillId="2" borderId="1" xfId="0" applyNumberFormat="1" applyFont="1" applyFill="1" applyBorder="1" applyAlignment="1">
      <alignment/>
    </xf>
    <xf numFmtId="4" fontId="14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0" fillId="0" borderId="0" xfId="0" applyNumberFormat="1" applyBorder="1" applyAlignment="1">
      <alignment/>
    </xf>
    <xf numFmtId="4" fontId="5" fillId="0" borderId="0" xfId="0" applyNumberFormat="1" applyFont="1" applyAlignment="1">
      <alignment/>
    </xf>
    <xf numFmtId="4" fontId="12" fillId="0" borderId="7" xfId="0" applyNumberFormat="1" applyFont="1" applyFill="1" applyBorder="1" applyAlignment="1">
      <alignment/>
    </xf>
    <xf numFmtId="4" fontId="12" fillId="0" borderId="8" xfId="0" applyNumberFormat="1" applyFont="1" applyFill="1" applyBorder="1" applyAlignment="1">
      <alignment/>
    </xf>
    <xf numFmtId="4" fontId="0" fillId="0" borderId="1" xfId="0" applyNumberFormat="1" applyBorder="1" applyAlignment="1">
      <alignment/>
    </xf>
    <xf numFmtId="4" fontId="4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D271"/>
  <sheetViews>
    <sheetView workbookViewId="0" topLeftCell="J1">
      <selection activeCell="T1" sqref="T1:V16384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4" width="21.421875" style="0" customWidth="1"/>
    <col min="5" max="5" width="18.7109375" style="0" customWidth="1"/>
    <col min="6" max="6" width="17.8515625" style="0" bestFit="1" customWidth="1"/>
    <col min="7" max="7" width="16.28125" style="0" customWidth="1"/>
    <col min="8" max="8" width="15.28125" style="17" bestFit="1" customWidth="1"/>
    <col min="9" max="9" width="12.140625" style="0" customWidth="1"/>
    <col min="10" max="10" width="14.140625" style="0" bestFit="1" customWidth="1"/>
    <col min="11" max="11" width="14.28125" style="0" bestFit="1" customWidth="1"/>
    <col min="12" max="12" width="15.57421875" style="0" bestFit="1" customWidth="1"/>
    <col min="13" max="13" width="16.8515625" style="0" customWidth="1"/>
    <col min="14" max="14" width="15.57421875" style="0" customWidth="1"/>
    <col min="15" max="15" width="15.57421875" style="0" bestFit="1" customWidth="1"/>
    <col min="16" max="16" width="17.28125" style="0" bestFit="1" customWidth="1"/>
    <col min="17" max="17" width="16.00390625" style="0" bestFit="1" customWidth="1"/>
    <col min="18" max="18" width="18.421875" style="0" bestFit="1" customWidth="1"/>
    <col min="19" max="19" width="18.421875" style="12" bestFit="1" customWidth="1"/>
    <col min="20" max="20" width="9.140625" style="4" customWidth="1"/>
    <col min="21" max="21" width="11.7109375" style="4" bestFit="1" customWidth="1"/>
    <col min="22" max="56" width="9.140625" style="4" customWidth="1"/>
  </cols>
  <sheetData>
    <row r="3" spans="2:19" ht="15.75">
      <c r="B3" s="19" t="s">
        <v>79</v>
      </c>
      <c r="C3" s="20"/>
      <c r="D3" s="20"/>
      <c r="E3" s="20"/>
      <c r="F3" s="21"/>
      <c r="G3" s="21"/>
      <c r="H3" s="22"/>
      <c r="I3" s="20"/>
      <c r="J3" s="20"/>
      <c r="K3" s="20"/>
      <c r="L3" s="20"/>
      <c r="M3" s="20"/>
      <c r="N3" s="20"/>
      <c r="O3" s="20"/>
      <c r="P3" s="20"/>
      <c r="Q3" s="20"/>
      <c r="R3" s="23"/>
      <c r="S3" s="24"/>
    </row>
    <row r="4" spans="1:19" ht="31.5">
      <c r="A4" s="50" t="s">
        <v>0</v>
      </c>
      <c r="B4" s="51" t="s">
        <v>1</v>
      </c>
      <c r="C4" s="52" t="s">
        <v>2</v>
      </c>
      <c r="D4" s="52" t="s">
        <v>3</v>
      </c>
      <c r="E4" s="52" t="s">
        <v>4</v>
      </c>
      <c r="F4" s="52" t="s">
        <v>5</v>
      </c>
      <c r="G4" s="52" t="s">
        <v>46</v>
      </c>
      <c r="H4" s="53" t="s">
        <v>48</v>
      </c>
      <c r="I4" s="52" t="s">
        <v>49</v>
      </c>
      <c r="J4" s="52" t="s">
        <v>53</v>
      </c>
      <c r="K4" s="52" t="s">
        <v>50</v>
      </c>
      <c r="L4" s="52" t="s">
        <v>51</v>
      </c>
      <c r="M4" s="52" t="s">
        <v>56</v>
      </c>
      <c r="N4" s="52" t="s">
        <v>54</v>
      </c>
      <c r="O4" s="52" t="s">
        <v>52</v>
      </c>
      <c r="P4" s="52" t="s">
        <v>55</v>
      </c>
      <c r="Q4" s="52" t="s">
        <v>58</v>
      </c>
      <c r="R4" s="54" t="s">
        <v>43</v>
      </c>
      <c r="S4" s="53" t="s">
        <v>57</v>
      </c>
    </row>
    <row r="5" spans="1:21" ht="15.75">
      <c r="A5" s="55">
        <v>1</v>
      </c>
      <c r="B5" s="56" t="s">
        <v>6</v>
      </c>
      <c r="C5" s="25">
        <f>34132.76+6457.47+6747.49+2538.04</f>
        <v>49875.76</v>
      </c>
      <c r="D5" s="25">
        <f>42081.67+5546.68+5846.6+3200.63</f>
        <v>56675.579999999994</v>
      </c>
      <c r="E5" s="25">
        <f>50524.23+1485.2+5743.48+558.88</f>
        <v>58311.79</v>
      </c>
      <c r="F5" s="25">
        <f>2381.98+682.31+503.28+411.66</f>
        <v>3979.2299999999996</v>
      </c>
      <c r="G5" s="25">
        <f>3670+393.64+671.88+312.94</f>
        <v>5048.459999999999</v>
      </c>
      <c r="H5" s="26">
        <v>491.69</v>
      </c>
      <c r="I5" s="25"/>
      <c r="J5" s="25"/>
      <c r="K5" s="25">
        <v>2262.5</v>
      </c>
      <c r="L5" s="25">
        <v>28359.86</v>
      </c>
      <c r="M5" s="25"/>
      <c r="N5" s="25">
        <v>5046.03</v>
      </c>
      <c r="O5" s="25"/>
      <c r="P5" s="25">
        <v>7829.56</v>
      </c>
      <c r="Q5" s="57">
        <f>H5+I5+J5+K5+L5+M5+N5+O5+P5</f>
        <v>43989.64</v>
      </c>
      <c r="R5" s="58">
        <f aca="true" t="shared" si="0" ref="R5:R39">C5+D5+E5+F5+G5+H5+I5+J5+K5+L5+M5+N5+O5+P5</f>
        <v>217880.46</v>
      </c>
      <c r="S5" s="59">
        <f>R5-Q5</f>
        <v>173890.82</v>
      </c>
      <c r="U5" s="62"/>
    </row>
    <row r="6" spans="1:21" ht="15.75">
      <c r="A6" s="55">
        <v>2</v>
      </c>
      <c r="B6" s="56" t="s">
        <v>7</v>
      </c>
      <c r="C6" s="25">
        <f>9388.67+7275.19</f>
        <v>16663.86</v>
      </c>
      <c r="D6" s="25">
        <f>12560.19+7715.04</f>
        <v>20275.23</v>
      </c>
      <c r="E6" s="25">
        <f>4179.8+8176.89</f>
        <v>12356.69</v>
      </c>
      <c r="F6" s="25">
        <f>708.83+394.02</f>
        <v>1102.85</v>
      </c>
      <c r="G6" s="25">
        <f>2087.45+1211.24</f>
        <v>3298.6899999999996</v>
      </c>
      <c r="H6" s="26">
        <v>491.69</v>
      </c>
      <c r="I6" s="25"/>
      <c r="J6" s="25"/>
      <c r="K6" s="25"/>
      <c r="L6" s="25">
        <f>3639.27+9945</f>
        <v>13584.27</v>
      </c>
      <c r="M6" s="25"/>
      <c r="N6" s="25">
        <v>2783.53</v>
      </c>
      <c r="O6" s="25"/>
      <c r="P6" s="25"/>
      <c r="Q6" s="57">
        <f aca="true" t="shared" si="1" ref="Q6:Q39">H6+I6+J6+K6+L6+M6+N6+O6+P6</f>
        <v>16859.49</v>
      </c>
      <c r="R6" s="58">
        <f t="shared" si="0"/>
        <v>70556.81</v>
      </c>
      <c r="S6" s="59">
        <f aca="true" t="shared" si="2" ref="S6:S39">R6-Q6</f>
        <v>53697.31999999999</v>
      </c>
      <c r="U6" s="62"/>
    </row>
    <row r="7" spans="1:21" ht="15.75">
      <c r="A7" s="55">
        <v>3</v>
      </c>
      <c r="B7" s="56" t="s">
        <v>8</v>
      </c>
      <c r="C7" s="25">
        <f>6811.43+789.23+3871.4+10023.63</f>
        <v>21495.69</v>
      </c>
      <c r="D7" s="25">
        <f>7310.66+345.47+5501.22+8788.27</f>
        <v>21945.620000000003</v>
      </c>
      <c r="E7" s="25">
        <f>3936.14+356.11+1820.51+4896.77</f>
        <v>11009.53</v>
      </c>
      <c r="F7" s="25">
        <f>1207.25+124.56+703.07+2234.71</f>
        <v>4269.59</v>
      </c>
      <c r="G7" s="25">
        <f>1245.12+21.6+343.47+975.03</f>
        <v>2585.22</v>
      </c>
      <c r="H7" s="26"/>
      <c r="I7" s="25"/>
      <c r="J7" s="25"/>
      <c r="K7" s="25"/>
      <c r="L7" s="25"/>
      <c r="M7" s="25"/>
      <c r="N7" s="25"/>
      <c r="O7" s="25"/>
      <c r="P7" s="25"/>
      <c r="Q7" s="57">
        <f t="shared" si="1"/>
        <v>0</v>
      </c>
      <c r="R7" s="58">
        <f t="shared" si="0"/>
        <v>61305.649999999994</v>
      </c>
      <c r="S7" s="59">
        <f t="shared" si="2"/>
        <v>61305.649999999994</v>
      </c>
      <c r="U7" s="62"/>
    </row>
    <row r="8" spans="1:21" ht="15.75">
      <c r="A8" s="55">
        <v>4</v>
      </c>
      <c r="B8" s="56" t="s">
        <v>9</v>
      </c>
      <c r="C8" s="25">
        <f>5949.2+7928.85+4729.88</f>
        <v>18607.93</v>
      </c>
      <c r="D8" s="25">
        <f>4627.39+7112.47+5620.46</f>
        <v>17360.32</v>
      </c>
      <c r="E8" s="25">
        <f>5063.1+3793.34+2886.41</f>
        <v>11742.85</v>
      </c>
      <c r="F8" s="25">
        <f>443.23+333.55+248.31</f>
        <v>1025.09</v>
      </c>
      <c r="G8" s="25">
        <f>1717.02+832.2+676.79</f>
        <v>3226.01</v>
      </c>
      <c r="H8" s="26"/>
      <c r="I8" s="25"/>
      <c r="J8" s="25"/>
      <c r="K8" s="25"/>
      <c r="L8" s="25"/>
      <c r="M8" s="25"/>
      <c r="N8" s="25"/>
      <c r="O8" s="25"/>
      <c r="P8" s="25"/>
      <c r="Q8" s="57">
        <f t="shared" si="1"/>
        <v>0</v>
      </c>
      <c r="R8" s="58">
        <f t="shared" si="0"/>
        <v>51962.2</v>
      </c>
      <c r="S8" s="59">
        <f t="shared" si="2"/>
        <v>51962.2</v>
      </c>
      <c r="U8" s="62"/>
    </row>
    <row r="9" spans="1:21" ht="15.75">
      <c r="A9" s="55">
        <v>5</v>
      </c>
      <c r="B9" s="56" t="s">
        <v>10</v>
      </c>
      <c r="C9" s="25">
        <f>18372.1+1647.13</f>
        <v>20019.23</v>
      </c>
      <c r="D9" s="25">
        <f>26120.68+1486.83</f>
        <v>27607.510000000002</v>
      </c>
      <c r="E9" s="25">
        <f>31188.07+698.93</f>
        <v>31887</v>
      </c>
      <c r="F9" s="26">
        <f>949.37+61.87</f>
        <v>1011.24</v>
      </c>
      <c r="G9" s="25">
        <f>2697.15+94.24</f>
        <v>2791.39</v>
      </c>
      <c r="H9" s="26">
        <v>163.9</v>
      </c>
      <c r="J9" s="25"/>
      <c r="K9" s="25"/>
      <c r="L9" s="25">
        <v>4525</v>
      </c>
      <c r="M9" s="25"/>
      <c r="N9" s="25"/>
      <c r="O9" s="25"/>
      <c r="P9" s="25"/>
      <c r="Q9" s="57">
        <f t="shared" si="1"/>
        <v>4688.9</v>
      </c>
      <c r="R9" s="58">
        <f t="shared" si="0"/>
        <v>88005.27</v>
      </c>
      <c r="S9" s="59">
        <f t="shared" si="2"/>
        <v>83316.37000000001</v>
      </c>
      <c r="U9" s="62"/>
    </row>
    <row r="10" spans="1:23" ht="15.75">
      <c r="A10" s="55">
        <v>6</v>
      </c>
      <c r="B10" s="56" t="s">
        <v>11</v>
      </c>
      <c r="C10" s="25">
        <f>15981.2+13965.19+5223.04+9386.88+13164.85</f>
        <v>57721.159999999996</v>
      </c>
      <c r="D10" s="25">
        <f>22992.29+13711.09+5058.51+8163.43+18510.24</f>
        <v>68435.56000000001</v>
      </c>
      <c r="E10" s="25">
        <f>33443.27+9938.52+5276.08+3000.27+64801.91</f>
        <v>116460.04999999999</v>
      </c>
      <c r="F10" s="25">
        <f>2245.83+2258.71+225.12+1962.92+1811.55</f>
        <v>8504.13</v>
      </c>
      <c r="G10" s="25">
        <f>2249.01+1519.82+520.31+908.17+1932.23</f>
        <v>7129.539999999999</v>
      </c>
      <c r="H10" s="26">
        <f>1887.89</f>
        <v>1887.89</v>
      </c>
      <c r="I10" s="25">
        <v>491.69</v>
      </c>
      <c r="J10" s="25"/>
      <c r="K10" s="25">
        <f>3255.44</f>
        <v>3255.44</v>
      </c>
      <c r="L10" s="25">
        <f>3315+6787.5+2262.5</f>
        <v>12365</v>
      </c>
      <c r="M10" s="25">
        <f>1131.25</f>
        <v>1131.25</v>
      </c>
      <c r="N10" s="25">
        <f>6049.69+2262.5</f>
        <v>8312.189999999999</v>
      </c>
      <c r="O10" s="25"/>
      <c r="P10" s="25">
        <v>4961.81</v>
      </c>
      <c r="Q10" s="57">
        <f t="shared" si="1"/>
        <v>32405.27</v>
      </c>
      <c r="R10" s="58">
        <f t="shared" si="0"/>
        <v>290655.71</v>
      </c>
      <c r="S10" s="59">
        <f t="shared" si="2"/>
        <v>258250.44000000003</v>
      </c>
      <c r="U10" s="62"/>
      <c r="W10" s="74"/>
    </row>
    <row r="11" spans="1:21" ht="15.75">
      <c r="A11" s="55">
        <v>7</v>
      </c>
      <c r="B11" s="56" t="s">
        <v>59</v>
      </c>
      <c r="C11" s="25">
        <f>15089.15+16456.7+9181.56+6968.78+8673.83+2245.7+5369.39</f>
        <v>63985.10999999999</v>
      </c>
      <c r="D11" s="25">
        <f>20905.25+15928.81+9941.98+9118.81+7784.46+1950.16+4346.78</f>
        <v>69976.24999999999</v>
      </c>
      <c r="E11" s="25">
        <f>8736.37+16411.81+3056.03+7782.9+4671.43+1722.42+2460.26</f>
        <v>44841.22</v>
      </c>
      <c r="F11" s="25">
        <f>1074.26+1348.72+2230.16+425.07+881.34+97.78+1489.24</f>
        <v>7546.569999999999</v>
      </c>
      <c r="G11" s="25">
        <f>2649.55+1465.35+1113.33+1041.3+801.18+315.98+470.73</f>
        <v>7857.42</v>
      </c>
      <c r="H11" s="26">
        <v>491.69</v>
      </c>
      <c r="I11" s="25"/>
      <c r="J11" s="25"/>
      <c r="K11" s="25"/>
      <c r="L11" s="25"/>
      <c r="M11" s="25"/>
      <c r="N11" s="25">
        <v>2262.5</v>
      </c>
      <c r="O11" s="25"/>
      <c r="P11" s="25"/>
      <c r="Q11" s="57">
        <f t="shared" si="1"/>
        <v>2754.19</v>
      </c>
      <c r="R11" s="58">
        <f t="shared" si="0"/>
        <v>196960.76</v>
      </c>
      <c r="S11" s="59">
        <f t="shared" si="2"/>
        <v>194206.57</v>
      </c>
      <c r="U11" s="62"/>
    </row>
    <row r="12" spans="1:21" ht="15.75">
      <c r="A12" s="55">
        <v>8</v>
      </c>
      <c r="B12" s="56" t="s">
        <v>12</v>
      </c>
      <c r="C12" s="25">
        <v>11348.65</v>
      </c>
      <c r="D12" s="25">
        <v>22352.4</v>
      </c>
      <c r="E12" s="25">
        <v>33808.4</v>
      </c>
      <c r="F12" s="25">
        <v>589.86</v>
      </c>
      <c r="G12" s="25">
        <v>816.57</v>
      </c>
      <c r="H12" s="26">
        <v>2713.51</v>
      </c>
      <c r="I12" s="25">
        <v>163.89</v>
      </c>
      <c r="J12" s="25"/>
      <c r="K12" s="25"/>
      <c r="L12" s="25">
        <v>12802.06</v>
      </c>
      <c r="M12" s="25"/>
      <c r="N12" s="25">
        <v>8892.5</v>
      </c>
      <c r="O12" s="25"/>
      <c r="P12" s="25"/>
      <c r="Q12" s="57">
        <f t="shared" si="1"/>
        <v>24571.96</v>
      </c>
      <c r="R12" s="58">
        <f t="shared" si="0"/>
        <v>93487.84000000001</v>
      </c>
      <c r="S12" s="59">
        <f t="shared" si="2"/>
        <v>68915.88</v>
      </c>
      <c r="U12" s="62"/>
    </row>
    <row r="13" spans="1:21" ht="15.75">
      <c r="A13" s="55">
        <v>9</v>
      </c>
      <c r="B13" s="56" t="s">
        <v>13</v>
      </c>
      <c r="C13" s="25">
        <f>8132.1+1580.65+10231.83</f>
        <v>19944.58</v>
      </c>
      <c r="D13" s="27">
        <f>11838.08+1894.13+14067.31</f>
        <v>27799.519999999997</v>
      </c>
      <c r="E13" s="25">
        <f>17298.06+585.58+7289.78</f>
        <v>25173.420000000002</v>
      </c>
      <c r="F13" s="25">
        <f>746.14+293.33+1248.21</f>
        <v>2287.6800000000003</v>
      </c>
      <c r="G13" s="25">
        <f>1479.29+126.47+1588.68</f>
        <v>3194.44</v>
      </c>
      <c r="H13" s="26">
        <v>491.69</v>
      </c>
      <c r="I13" s="25"/>
      <c r="J13" s="25"/>
      <c r="K13" s="25"/>
      <c r="L13" s="25"/>
      <c r="M13" s="25"/>
      <c r="N13" s="25"/>
      <c r="O13" s="25"/>
      <c r="P13" s="25"/>
      <c r="Q13" s="57">
        <f t="shared" si="1"/>
        <v>491.69</v>
      </c>
      <c r="R13" s="58">
        <f t="shared" si="0"/>
        <v>78891.33000000002</v>
      </c>
      <c r="S13" s="59">
        <f t="shared" si="2"/>
        <v>78399.64000000001</v>
      </c>
      <c r="U13" s="62"/>
    </row>
    <row r="14" spans="1:21" ht="15.75">
      <c r="A14" s="55">
        <v>10</v>
      </c>
      <c r="B14" s="56" t="s">
        <v>14</v>
      </c>
      <c r="C14" s="25">
        <f>21120.72+16739.31+28660.7</f>
        <v>66520.73</v>
      </c>
      <c r="D14" s="25">
        <f>25092.68+18092.16+31984.18</f>
        <v>75169.01999999999</v>
      </c>
      <c r="E14" s="25">
        <f>9195.64+11549.79+15995.32</f>
        <v>36740.75</v>
      </c>
      <c r="F14" s="25">
        <f>1479.96+1440.98+3230.28</f>
        <v>6151.22</v>
      </c>
      <c r="G14" s="25">
        <f>2933.99+2186.83+2837.96</f>
        <v>7958.78</v>
      </c>
      <c r="H14" s="26">
        <v>491.69</v>
      </c>
      <c r="I14" s="25"/>
      <c r="J14" s="25"/>
      <c r="K14" s="25"/>
      <c r="L14" s="25">
        <f>2783.53+2262.5+7829.56</f>
        <v>12875.59</v>
      </c>
      <c r="M14" s="25">
        <v>2262.5</v>
      </c>
      <c r="N14" s="25">
        <f>7308.53+10702.28</f>
        <v>18010.81</v>
      </c>
      <c r="O14" s="25">
        <v>1843.14</v>
      </c>
      <c r="P14" s="25"/>
      <c r="Q14" s="57">
        <f t="shared" si="1"/>
        <v>35483.73</v>
      </c>
      <c r="R14" s="58">
        <f t="shared" si="0"/>
        <v>228024.23</v>
      </c>
      <c r="S14" s="59">
        <f t="shared" si="2"/>
        <v>192540.5</v>
      </c>
      <c r="U14" s="62"/>
    </row>
    <row r="15" spans="1:21" ht="15.75">
      <c r="A15" s="55">
        <v>11</v>
      </c>
      <c r="B15" s="56" t="s">
        <v>15</v>
      </c>
      <c r="C15" s="25">
        <v>30040.64</v>
      </c>
      <c r="D15" s="25">
        <v>33955.09</v>
      </c>
      <c r="E15" s="25">
        <v>23212.88</v>
      </c>
      <c r="F15" s="25">
        <v>3751.36</v>
      </c>
      <c r="G15" s="25">
        <v>4326.84</v>
      </c>
      <c r="H15" s="26"/>
      <c r="I15" s="25"/>
      <c r="J15" s="25"/>
      <c r="K15" s="25"/>
      <c r="L15" s="25"/>
      <c r="M15" s="25"/>
      <c r="N15" s="25"/>
      <c r="O15" s="25"/>
      <c r="P15" s="25"/>
      <c r="Q15" s="57">
        <f t="shared" si="1"/>
        <v>0</v>
      </c>
      <c r="R15" s="58">
        <f t="shared" si="0"/>
        <v>95286.81</v>
      </c>
      <c r="S15" s="59">
        <f t="shared" si="2"/>
        <v>95286.81</v>
      </c>
      <c r="U15" s="62"/>
    </row>
    <row r="16" spans="1:22" ht="15.75">
      <c r="A16" s="55">
        <v>12</v>
      </c>
      <c r="B16" s="56" t="s">
        <v>16</v>
      </c>
      <c r="C16" s="25">
        <v>20025.15</v>
      </c>
      <c r="D16" s="25">
        <v>13265.43</v>
      </c>
      <c r="E16" s="25">
        <v>5570.67</v>
      </c>
      <c r="F16" s="25">
        <v>1813.16</v>
      </c>
      <c r="G16" s="25">
        <v>1844.94</v>
      </c>
      <c r="H16" s="26"/>
      <c r="I16" s="25"/>
      <c r="J16" s="25"/>
      <c r="K16" s="25"/>
      <c r="L16" s="25"/>
      <c r="M16" s="25"/>
      <c r="N16" s="25"/>
      <c r="O16" s="25"/>
      <c r="P16" s="25"/>
      <c r="Q16" s="57">
        <f t="shared" si="1"/>
        <v>0</v>
      </c>
      <c r="R16" s="58">
        <f t="shared" si="0"/>
        <v>42519.350000000006</v>
      </c>
      <c r="S16" s="59">
        <f t="shared" si="2"/>
        <v>42519.350000000006</v>
      </c>
      <c r="T16" s="11"/>
      <c r="U16" s="62"/>
      <c r="V16" s="11"/>
    </row>
    <row r="17" spans="1:21" ht="15.75">
      <c r="A17" s="55">
        <v>13</v>
      </c>
      <c r="B17" s="56" t="s">
        <v>17</v>
      </c>
      <c r="C17" s="25">
        <f>34032.33+13886.1+6401.71</f>
        <v>54320.14</v>
      </c>
      <c r="D17" s="25">
        <f>30952.35+10758.52+5566.15</f>
        <v>47277.02</v>
      </c>
      <c r="E17" s="25">
        <f>18485.96+11496.44+5022.86</f>
        <v>35005.26</v>
      </c>
      <c r="F17" s="25">
        <f>8043.13+1740.33+56.26</f>
        <v>9839.72</v>
      </c>
      <c r="G17" s="25">
        <f>2881.27+780.3+159.67</f>
        <v>3821.24</v>
      </c>
      <c r="H17" s="26"/>
      <c r="I17" s="25"/>
      <c r="J17" s="25"/>
      <c r="K17" s="25"/>
      <c r="L17" s="25"/>
      <c r="M17" s="25"/>
      <c r="N17" s="25"/>
      <c r="O17" s="25"/>
      <c r="P17" s="25"/>
      <c r="Q17" s="57">
        <f t="shared" si="1"/>
        <v>0</v>
      </c>
      <c r="R17" s="58">
        <f t="shared" si="0"/>
        <v>150263.38</v>
      </c>
      <c r="S17" s="59">
        <f t="shared" si="2"/>
        <v>150263.38</v>
      </c>
      <c r="U17" s="62"/>
    </row>
    <row r="18" spans="1:21" ht="15.75">
      <c r="A18" s="55">
        <v>14</v>
      </c>
      <c r="B18" s="56" t="s">
        <v>18</v>
      </c>
      <c r="C18" s="25">
        <f>11715.71+3804.45</f>
        <v>15520.16</v>
      </c>
      <c r="D18" s="25">
        <f>12018.86+3279.02</f>
        <v>15297.880000000001</v>
      </c>
      <c r="E18" s="25">
        <f>4198.37+2141.97</f>
        <v>6340.34</v>
      </c>
      <c r="F18" s="25">
        <f>1548.83+158.64</f>
        <v>1707.4699999999998</v>
      </c>
      <c r="G18" s="25">
        <f>1811.28+384.39</f>
        <v>2195.67</v>
      </c>
      <c r="H18" s="28"/>
      <c r="I18" s="25"/>
      <c r="J18" s="25"/>
      <c r="K18" s="25"/>
      <c r="L18" s="25"/>
      <c r="M18" s="25"/>
      <c r="N18" s="25"/>
      <c r="O18" s="25"/>
      <c r="P18" s="25"/>
      <c r="Q18" s="57">
        <f t="shared" si="1"/>
        <v>0</v>
      </c>
      <c r="R18" s="58">
        <f t="shared" si="0"/>
        <v>41061.520000000004</v>
      </c>
      <c r="S18" s="59">
        <f t="shared" si="2"/>
        <v>41061.520000000004</v>
      </c>
      <c r="U18" s="62"/>
    </row>
    <row r="19" spans="1:21" ht="15.75">
      <c r="A19" s="55">
        <v>15</v>
      </c>
      <c r="B19" s="56" t="s">
        <v>19</v>
      </c>
      <c r="C19" s="25">
        <v>0</v>
      </c>
      <c r="D19" s="25">
        <v>0</v>
      </c>
      <c r="E19" s="25">
        <v>0</v>
      </c>
      <c r="F19" s="65">
        <v>0</v>
      </c>
      <c r="G19" s="64">
        <v>0</v>
      </c>
      <c r="H19" s="26"/>
      <c r="I19" s="25"/>
      <c r="J19" s="25"/>
      <c r="K19" s="25"/>
      <c r="L19" s="25"/>
      <c r="M19" s="25"/>
      <c r="N19" s="25"/>
      <c r="O19" s="25"/>
      <c r="P19" s="25"/>
      <c r="Q19" s="57">
        <f t="shared" si="1"/>
        <v>0</v>
      </c>
      <c r="R19" s="58">
        <f t="shared" si="0"/>
        <v>0</v>
      </c>
      <c r="S19" s="59">
        <f t="shared" si="2"/>
        <v>0</v>
      </c>
      <c r="U19" s="62"/>
    </row>
    <row r="20" spans="1:21" ht="15.75">
      <c r="A20" s="55">
        <v>16</v>
      </c>
      <c r="B20" s="56" t="s">
        <v>20</v>
      </c>
      <c r="C20" s="25">
        <f>4599.37+3264.52+1768.75+3823.69</f>
        <v>13456.33</v>
      </c>
      <c r="D20" s="25">
        <f>4288.62+4032.83+1459.17+4378.12</f>
        <v>14158.740000000002</v>
      </c>
      <c r="E20" s="25">
        <f>1134.11+541.34+1367.27+1215.13</f>
        <v>4257.85</v>
      </c>
      <c r="F20" s="25">
        <f>404.04+699.2+107.23+472.03</f>
        <v>1682.5</v>
      </c>
      <c r="G20" s="25">
        <f>422.54+551.25+175.85+285.6</f>
        <v>1435.2399999999998</v>
      </c>
      <c r="H20" s="26"/>
      <c r="I20" s="25"/>
      <c r="J20" s="25"/>
      <c r="K20" s="25"/>
      <c r="L20" s="25"/>
      <c r="M20" s="25"/>
      <c r="N20" s="25"/>
      <c r="O20" s="25"/>
      <c r="P20" s="25"/>
      <c r="Q20" s="57">
        <f t="shared" si="1"/>
        <v>0</v>
      </c>
      <c r="R20" s="58">
        <f t="shared" si="0"/>
        <v>34990.659999999996</v>
      </c>
      <c r="S20" s="59">
        <f t="shared" si="2"/>
        <v>34990.659999999996</v>
      </c>
      <c r="U20" s="62"/>
    </row>
    <row r="21" spans="1:21" ht="15.75">
      <c r="A21" s="55">
        <v>17</v>
      </c>
      <c r="B21" s="56" t="s">
        <v>21</v>
      </c>
      <c r="C21" s="25">
        <v>17215.02</v>
      </c>
      <c r="D21" s="25">
        <v>18454.4</v>
      </c>
      <c r="E21" s="25">
        <v>12069.58</v>
      </c>
      <c r="F21" s="25">
        <v>1055.01</v>
      </c>
      <c r="G21" s="25">
        <v>3481.79</v>
      </c>
      <c r="H21" s="26">
        <v>655.2</v>
      </c>
      <c r="I21" s="25"/>
      <c r="J21" s="25">
        <v>4988.29</v>
      </c>
      <c r="K21" s="25"/>
      <c r="L21" s="25"/>
      <c r="M21" s="25"/>
      <c r="N21" s="25">
        <v>3787.19</v>
      </c>
      <c r="O21" s="25"/>
      <c r="P21" s="25"/>
      <c r="Q21" s="57">
        <f t="shared" si="1"/>
        <v>9430.68</v>
      </c>
      <c r="R21" s="58">
        <f t="shared" si="0"/>
        <v>61706.48</v>
      </c>
      <c r="S21" s="59">
        <f t="shared" si="2"/>
        <v>52275.8</v>
      </c>
      <c r="U21" s="62"/>
    </row>
    <row r="22" spans="1:21" ht="15.75">
      <c r="A22" s="55">
        <v>18</v>
      </c>
      <c r="B22" s="56" t="s">
        <v>22</v>
      </c>
      <c r="C22" s="25">
        <f>19004.85+3707.44+18762.15+2110.78+9477.96+3052.97</f>
        <v>56116.15</v>
      </c>
      <c r="D22" s="25">
        <f>23060.3+3792.23+15395.88+2735.13+4465.64+2797.14</f>
        <v>52246.31999999999</v>
      </c>
      <c r="E22" s="25">
        <f>22049.57+2433.8+11042.65+646.35+30.5+1067.89</f>
        <v>37270.759999999995</v>
      </c>
      <c r="F22" s="25">
        <f>2077.12+634.7+894.28+199.88+9577.74+304.47</f>
        <v>13688.189999999999</v>
      </c>
      <c r="G22" s="25">
        <f>2571.53+304.78+2234.95+144.73+504.17+248.31</f>
        <v>6008.47</v>
      </c>
      <c r="H22" s="26">
        <f>1311.19+163.9</f>
        <v>1475.0900000000001</v>
      </c>
      <c r="I22" s="25"/>
      <c r="J22" s="25"/>
      <c r="K22" s="25"/>
      <c r="L22" s="25">
        <v>2783.53</v>
      </c>
      <c r="M22" s="25"/>
      <c r="N22" s="25"/>
      <c r="O22" s="25"/>
      <c r="P22" s="25"/>
      <c r="Q22" s="57">
        <f t="shared" si="1"/>
        <v>4258.620000000001</v>
      </c>
      <c r="R22" s="58">
        <f t="shared" si="0"/>
        <v>169588.50999999998</v>
      </c>
      <c r="S22" s="59">
        <f t="shared" si="2"/>
        <v>165329.88999999998</v>
      </c>
      <c r="U22" s="62"/>
    </row>
    <row r="23" spans="1:21" ht="15.75">
      <c r="A23" s="55">
        <v>19</v>
      </c>
      <c r="B23" s="56" t="s">
        <v>23</v>
      </c>
      <c r="C23" s="25">
        <v>8937.69</v>
      </c>
      <c r="D23" s="25">
        <v>7014.26</v>
      </c>
      <c r="E23" s="25">
        <v>4875.59</v>
      </c>
      <c r="F23" s="25">
        <v>483.16</v>
      </c>
      <c r="G23" s="25">
        <v>739.66</v>
      </c>
      <c r="H23" s="26"/>
      <c r="I23" s="25"/>
      <c r="J23" s="25"/>
      <c r="K23" s="25"/>
      <c r="L23" s="25"/>
      <c r="M23" s="25"/>
      <c r="N23" s="25"/>
      <c r="O23" s="25"/>
      <c r="P23" s="25"/>
      <c r="Q23" s="57">
        <f t="shared" si="1"/>
        <v>0</v>
      </c>
      <c r="R23" s="58">
        <f t="shared" si="0"/>
        <v>22050.36</v>
      </c>
      <c r="S23" s="59">
        <f t="shared" si="2"/>
        <v>22050.36</v>
      </c>
      <c r="U23" s="62"/>
    </row>
    <row r="24" spans="1:21" ht="15.75">
      <c r="A24" s="55">
        <v>20</v>
      </c>
      <c r="B24" s="56" t="s">
        <v>24</v>
      </c>
      <c r="C24" s="25">
        <f>6741.31+5306.2</f>
        <v>12047.51</v>
      </c>
      <c r="D24" s="25">
        <f>5857.25+6029.18</f>
        <v>11886.43</v>
      </c>
      <c r="E24" s="25">
        <f>2827.17+3413.47</f>
        <v>6240.639999999999</v>
      </c>
      <c r="F24" s="25">
        <f>1562.69+1375.19</f>
        <v>2937.88</v>
      </c>
      <c r="G24" s="25">
        <f>610.09+1187.98</f>
        <v>1798.0700000000002</v>
      </c>
      <c r="H24" s="26"/>
      <c r="I24" s="25"/>
      <c r="J24" s="25"/>
      <c r="K24" s="25"/>
      <c r="L24" s="25"/>
      <c r="M24" s="25"/>
      <c r="N24" s="25"/>
      <c r="O24" s="25"/>
      <c r="P24" s="25"/>
      <c r="Q24" s="57">
        <f t="shared" si="1"/>
        <v>0</v>
      </c>
      <c r="R24" s="58">
        <f t="shared" si="0"/>
        <v>34910.53</v>
      </c>
      <c r="S24" s="59">
        <f t="shared" si="2"/>
        <v>34910.53</v>
      </c>
      <c r="U24" s="62"/>
    </row>
    <row r="25" spans="1:21" ht="15.75">
      <c r="A25" s="55">
        <v>21</v>
      </c>
      <c r="B25" s="56" t="s">
        <v>25</v>
      </c>
      <c r="C25" s="25">
        <f>8342.77+6102.09+15366.59+6246.41</f>
        <v>36057.86</v>
      </c>
      <c r="D25" s="25">
        <f>9473.77+11318.17+20081.59+8602.31</f>
        <v>49475.84</v>
      </c>
      <c r="E25" s="25">
        <f>2635.37+7205.42+21449.8+2878.6</f>
        <v>34169.19</v>
      </c>
      <c r="F25" s="25">
        <f>917.04+302.55+517.11+1195.3</f>
        <v>2932</v>
      </c>
      <c r="G25" s="25">
        <f>924.45+938.74+1361.4+693.9</f>
        <v>3918.4900000000002</v>
      </c>
      <c r="H25" s="25">
        <f>491.67+412.81</f>
        <v>904.48</v>
      </c>
      <c r="I25" s="25"/>
      <c r="J25" s="25"/>
      <c r="K25" s="25">
        <f>4525</f>
        <v>4525</v>
      </c>
      <c r="L25" s="25">
        <f>96807.37+4294.62</f>
        <v>101101.98999999999</v>
      </c>
      <c r="M25" s="25">
        <f>2262.5</f>
        <v>2262.5</v>
      </c>
      <c r="N25" s="25">
        <v>6787.5</v>
      </c>
      <c r="O25" s="25"/>
      <c r="P25" s="25">
        <v>23756.25</v>
      </c>
      <c r="Q25" s="57">
        <f t="shared" si="1"/>
        <v>139337.71999999997</v>
      </c>
      <c r="R25" s="58">
        <f t="shared" si="0"/>
        <v>265891.1</v>
      </c>
      <c r="S25" s="59">
        <f t="shared" si="2"/>
        <v>126553.38</v>
      </c>
      <c r="U25" s="62"/>
    </row>
    <row r="26" spans="1:21" ht="15.75">
      <c r="A26" s="55">
        <v>22</v>
      </c>
      <c r="B26" s="56" t="s">
        <v>26</v>
      </c>
      <c r="C26" s="25">
        <v>2515.73</v>
      </c>
      <c r="D26" s="25">
        <v>4710.11</v>
      </c>
      <c r="E26" s="25">
        <v>1445.33</v>
      </c>
      <c r="F26" s="25">
        <v>226.77</v>
      </c>
      <c r="G26" s="25">
        <v>491.13</v>
      </c>
      <c r="H26" s="26"/>
      <c r="I26" s="25"/>
      <c r="J26" s="25"/>
      <c r="K26" s="25"/>
      <c r="L26" s="25"/>
      <c r="M26" s="25"/>
      <c r="N26" s="25"/>
      <c r="O26" s="25"/>
      <c r="P26" s="25"/>
      <c r="Q26" s="57">
        <f t="shared" si="1"/>
        <v>0</v>
      </c>
      <c r="R26" s="58">
        <f t="shared" si="0"/>
        <v>9389.07</v>
      </c>
      <c r="S26" s="59">
        <f t="shared" si="2"/>
        <v>9389.07</v>
      </c>
      <c r="U26" s="62"/>
    </row>
    <row r="27" spans="1:21" ht="15.75">
      <c r="A27" s="55">
        <v>23</v>
      </c>
      <c r="B27" s="56" t="s">
        <v>27</v>
      </c>
      <c r="C27" s="25">
        <f>7863.69+6548.44</f>
        <v>14412.13</v>
      </c>
      <c r="D27" s="25">
        <f>8563.06+5391.09</f>
        <v>13954.15</v>
      </c>
      <c r="E27" s="25">
        <f>3636.86+3655.16</f>
        <v>7292.02</v>
      </c>
      <c r="F27" s="25">
        <f>858.02+1921.13</f>
        <v>2779.15</v>
      </c>
      <c r="G27" s="25">
        <f>1225.17+776.99</f>
        <v>2002.16</v>
      </c>
      <c r="H27" s="26"/>
      <c r="I27" s="25"/>
      <c r="J27" s="25"/>
      <c r="K27" s="25"/>
      <c r="L27" s="25">
        <v>3315</v>
      </c>
      <c r="M27" s="25"/>
      <c r="N27" s="25"/>
      <c r="O27" s="25">
        <v>2340.4</v>
      </c>
      <c r="P27" s="25"/>
      <c r="Q27" s="57">
        <f t="shared" si="1"/>
        <v>5655.4</v>
      </c>
      <c r="R27" s="58">
        <f t="shared" si="0"/>
        <v>46095.01000000001</v>
      </c>
      <c r="S27" s="59">
        <f t="shared" si="2"/>
        <v>40439.61000000001</v>
      </c>
      <c r="U27" s="62"/>
    </row>
    <row r="28" spans="1:21" ht="15.75">
      <c r="A28" s="55">
        <v>24</v>
      </c>
      <c r="B28" s="56" t="s">
        <v>28</v>
      </c>
      <c r="C28" s="25">
        <f>5592.83+5343.93</f>
        <v>10936.76</v>
      </c>
      <c r="D28" s="25">
        <f>5621.65+5422.3</f>
        <v>11043.95</v>
      </c>
      <c r="E28" s="25">
        <f>7680.26+2416.27</f>
        <v>10096.53</v>
      </c>
      <c r="F28" s="25">
        <f>440.01+212.77</f>
        <v>652.78</v>
      </c>
      <c r="G28" s="25">
        <f>412+476.27</f>
        <v>888.27</v>
      </c>
      <c r="H28" s="26"/>
      <c r="I28" s="25"/>
      <c r="J28" s="25"/>
      <c r="K28" s="25"/>
      <c r="L28" s="25"/>
      <c r="M28" s="25"/>
      <c r="N28" s="25"/>
      <c r="O28" s="25"/>
      <c r="P28" s="25"/>
      <c r="Q28" s="57">
        <f t="shared" si="1"/>
        <v>0</v>
      </c>
      <c r="R28" s="58">
        <f t="shared" si="0"/>
        <v>33618.28999999999</v>
      </c>
      <c r="S28" s="59">
        <f t="shared" si="2"/>
        <v>33618.28999999999</v>
      </c>
      <c r="U28" s="62"/>
    </row>
    <row r="29" spans="1:21" ht="15.75">
      <c r="A29" s="55">
        <v>25</v>
      </c>
      <c r="B29" s="56" t="s">
        <v>29</v>
      </c>
      <c r="C29" s="25">
        <f>16452.61+14741.09+16581.43</f>
        <v>47775.130000000005</v>
      </c>
      <c r="D29" s="25">
        <f>27658.19+22365.54+15887.92</f>
        <v>65911.65</v>
      </c>
      <c r="E29" s="25">
        <f>8433.35+8866.18+5212.99</f>
        <v>22512.519999999997</v>
      </c>
      <c r="F29" s="25">
        <f>1549.32+1404.9+558.18</f>
        <v>3512.4</v>
      </c>
      <c r="G29" s="25">
        <f>1941.19+1958.79+2259.99</f>
        <v>6159.969999999999</v>
      </c>
      <c r="H29" s="26"/>
      <c r="I29" s="25"/>
      <c r="J29" s="25"/>
      <c r="K29" s="25"/>
      <c r="L29" s="25"/>
      <c r="M29" s="25">
        <v>2262.5</v>
      </c>
      <c r="N29" s="25"/>
      <c r="O29" s="25"/>
      <c r="P29" s="25"/>
      <c r="Q29" s="57">
        <f t="shared" si="1"/>
        <v>2262.5</v>
      </c>
      <c r="R29" s="58">
        <f t="shared" si="0"/>
        <v>148134.16999999998</v>
      </c>
      <c r="S29" s="59">
        <f t="shared" si="2"/>
        <v>145871.66999999998</v>
      </c>
      <c r="U29" s="62"/>
    </row>
    <row r="30" spans="1:21" ht="15.75">
      <c r="A30" s="55">
        <v>26</v>
      </c>
      <c r="B30" s="56" t="s">
        <v>30</v>
      </c>
      <c r="C30" s="25">
        <f>34265.69+3535.19</f>
        <v>37800.880000000005</v>
      </c>
      <c r="D30" s="25">
        <f>37156.71+3085.46</f>
        <v>40242.17</v>
      </c>
      <c r="E30" s="25">
        <f>16120.75+700.61</f>
        <v>16821.36</v>
      </c>
      <c r="F30" s="25">
        <f>3689.16+437.65</f>
        <v>4126.8099999999995</v>
      </c>
      <c r="G30" s="25">
        <f>5165.13+559.81</f>
        <v>5724.9400000000005</v>
      </c>
      <c r="H30" s="26">
        <v>655.59</v>
      </c>
      <c r="I30" s="25"/>
      <c r="J30" s="25"/>
      <c r="K30" s="25"/>
      <c r="L30" s="25"/>
      <c r="M30" s="25"/>
      <c r="N30" s="25">
        <v>2262.5</v>
      </c>
      <c r="O30" s="25"/>
      <c r="P30" s="25"/>
      <c r="Q30" s="57">
        <f t="shared" si="1"/>
        <v>2918.09</v>
      </c>
      <c r="R30" s="58">
        <f t="shared" si="0"/>
        <v>107634.25</v>
      </c>
      <c r="S30" s="59">
        <f t="shared" si="2"/>
        <v>104716.16</v>
      </c>
      <c r="U30" s="62"/>
    </row>
    <row r="31" spans="1:21" ht="15.75">
      <c r="A31" s="55">
        <v>27</v>
      </c>
      <c r="B31" s="56" t="s">
        <v>40</v>
      </c>
      <c r="C31" s="25">
        <v>4378.5</v>
      </c>
      <c r="D31" s="25">
        <v>4535.32</v>
      </c>
      <c r="E31" s="25">
        <v>1860.24</v>
      </c>
      <c r="F31" s="25">
        <v>192.78</v>
      </c>
      <c r="G31" s="25">
        <v>213.25</v>
      </c>
      <c r="H31" s="26"/>
      <c r="I31" s="25"/>
      <c r="J31" s="25"/>
      <c r="K31" s="25"/>
      <c r="L31" s="25"/>
      <c r="M31" s="25"/>
      <c r="N31" s="25"/>
      <c r="O31" s="25"/>
      <c r="P31" s="25"/>
      <c r="Q31" s="57">
        <f t="shared" si="1"/>
        <v>0</v>
      </c>
      <c r="R31" s="58">
        <f t="shared" si="0"/>
        <v>11180.09</v>
      </c>
      <c r="S31" s="59">
        <f t="shared" si="2"/>
        <v>11180.09</v>
      </c>
      <c r="U31" s="62"/>
    </row>
    <row r="32" spans="1:21" ht="15.75">
      <c r="A32" s="55">
        <v>28</v>
      </c>
      <c r="B32" s="56" t="s">
        <v>41</v>
      </c>
      <c r="C32" s="25">
        <f>12941.72+1424.24+2861.75+4146.14+1843.76</f>
        <v>23217.609999999997</v>
      </c>
      <c r="D32" s="25">
        <f>11271.24+1199.9+1620.18+5376.85+1075.2</f>
        <v>20543.37</v>
      </c>
      <c r="E32" s="25">
        <f>13015.14+633.7+2846.48+3270+24.13</f>
        <v>19789.45</v>
      </c>
      <c r="F32" s="25">
        <f>1586.77+283.97+220.77+185.23</f>
        <v>2276.7400000000002</v>
      </c>
      <c r="G32" s="25">
        <f>1129.62+211.74+256.04+261.77+339.47</f>
        <v>2198.64</v>
      </c>
      <c r="H32" s="26"/>
      <c r="I32" s="25"/>
      <c r="J32" s="25">
        <v>1702.27</v>
      </c>
      <c r="K32" s="25">
        <v>6787.51</v>
      </c>
      <c r="L32" s="25"/>
      <c r="M32" s="25">
        <v>2783.53</v>
      </c>
      <c r="N32" s="25"/>
      <c r="O32" s="25"/>
      <c r="P32" s="25"/>
      <c r="Q32" s="57">
        <f t="shared" si="1"/>
        <v>11273.310000000001</v>
      </c>
      <c r="R32" s="58">
        <f t="shared" si="0"/>
        <v>79299.12</v>
      </c>
      <c r="S32" s="59">
        <f t="shared" si="2"/>
        <v>68025.81</v>
      </c>
      <c r="U32" s="62"/>
    </row>
    <row r="33" spans="1:21" ht="15.75">
      <c r="A33" s="55">
        <v>29</v>
      </c>
      <c r="B33" s="56" t="s">
        <v>42</v>
      </c>
      <c r="C33" s="25">
        <v>17426.4</v>
      </c>
      <c r="D33" s="25">
        <v>23106.62</v>
      </c>
      <c r="E33" s="25">
        <v>10961.14</v>
      </c>
      <c r="F33" s="25">
        <v>1613.43</v>
      </c>
      <c r="G33" s="25">
        <v>2235.99</v>
      </c>
      <c r="H33" s="26"/>
      <c r="I33" s="25"/>
      <c r="J33" s="25"/>
      <c r="K33" s="25"/>
      <c r="L33" s="25"/>
      <c r="M33" s="25"/>
      <c r="N33" s="25"/>
      <c r="O33" s="25"/>
      <c r="P33" s="25"/>
      <c r="Q33" s="57">
        <f t="shared" si="1"/>
        <v>0</v>
      </c>
      <c r="R33" s="58">
        <f t="shared" si="0"/>
        <v>55343.58</v>
      </c>
      <c r="S33" s="59">
        <f t="shared" si="2"/>
        <v>55343.58</v>
      </c>
      <c r="U33" s="62"/>
    </row>
    <row r="34" spans="1:21" ht="15.75">
      <c r="A34" s="55">
        <v>30</v>
      </c>
      <c r="B34" s="56" t="s">
        <v>44</v>
      </c>
      <c r="C34" s="25">
        <v>8009.33</v>
      </c>
      <c r="D34" s="25">
        <v>6052.98</v>
      </c>
      <c r="E34" s="25">
        <v>6102.84</v>
      </c>
      <c r="F34" s="25">
        <v>1373.22</v>
      </c>
      <c r="G34" s="25">
        <v>887.8</v>
      </c>
      <c r="H34" s="26"/>
      <c r="I34" s="25"/>
      <c r="J34" s="25"/>
      <c r="K34" s="25"/>
      <c r="L34" s="25"/>
      <c r="M34" s="25"/>
      <c r="N34" s="25"/>
      <c r="O34" s="25"/>
      <c r="P34" s="25"/>
      <c r="Q34" s="57">
        <f t="shared" si="1"/>
        <v>0</v>
      </c>
      <c r="R34" s="58">
        <f t="shared" si="0"/>
        <v>22426.170000000002</v>
      </c>
      <c r="S34" s="59">
        <f t="shared" si="2"/>
        <v>22426.170000000002</v>
      </c>
      <c r="U34" s="62"/>
    </row>
    <row r="35" spans="1:21" ht="15.75">
      <c r="A35" s="55">
        <v>31</v>
      </c>
      <c r="B35" s="56" t="s">
        <v>45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6"/>
      <c r="I35" s="25"/>
      <c r="J35" s="25"/>
      <c r="K35" s="25"/>
      <c r="L35" s="25"/>
      <c r="M35" s="25"/>
      <c r="N35" s="25"/>
      <c r="O35" s="25"/>
      <c r="P35" s="25"/>
      <c r="Q35" s="57">
        <f t="shared" si="1"/>
        <v>0</v>
      </c>
      <c r="R35" s="58">
        <f t="shared" si="0"/>
        <v>0</v>
      </c>
      <c r="S35" s="59">
        <f t="shared" si="2"/>
        <v>0</v>
      </c>
      <c r="U35" s="62"/>
    </row>
    <row r="36" spans="1:56" s="48" customFormat="1" ht="15.75">
      <c r="A36" s="55">
        <v>32</v>
      </c>
      <c r="B36" s="56" t="s">
        <v>47</v>
      </c>
      <c r="C36" s="25">
        <v>4962.91</v>
      </c>
      <c r="D36" s="25">
        <v>5538.4</v>
      </c>
      <c r="E36" s="25">
        <v>1963.9</v>
      </c>
      <c r="F36" s="25">
        <v>739.35</v>
      </c>
      <c r="G36" s="25">
        <v>576.88</v>
      </c>
      <c r="H36" s="25">
        <v>163.9</v>
      </c>
      <c r="I36" s="25"/>
      <c r="J36" s="25"/>
      <c r="K36" s="25"/>
      <c r="L36" s="25"/>
      <c r="M36" s="25"/>
      <c r="N36" s="25"/>
      <c r="O36" s="25"/>
      <c r="P36" s="25"/>
      <c r="Q36" s="57">
        <f t="shared" si="1"/>
        <v>163.9</v>
      </c>
      <c r="R36" s="58">
        <f t="shared" si="0"/>
        <v>13945.339999999998</v>
      </c>
      <c r="S36" s="59">
        <f t="shared" si="2"/>
        <v>13781.439999999999</v>
      </c>
      <c r="T36" s="4"/>
      <c r="U36" s="62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1:21" s="4" customFormat="1" ht="15.75">
      <c r="A37" s="55">
        <v>33</v>
      </c>
      <c r="B37" s="56" t="s">
        <v>60</v>
      </c>
      <c r="C37" s="25">
        <v>4314.28</v>
      </c>
      <c r="D37" s="25">
        <v>4675.7</v>
      </c>
      <c r="E37" s="25">
        <v>1700.75</v>
      </c>
      <c r="F37" s="25">
        <v>312.36</v>
      </c>
      <c r="G37" s="25">
        <v>329.96</v>
      </c>
      <c r="H37" s="25"/>
      <c r="I37" s="25"/>
      <c r="J37" s="25"/>
      <c r="K37" s="25"/>
      <c r="L37" s="25"/>
      <c r="M37" s="25"/>
      <c r="N37" s="25"/>
      <c r="O37" s="25"/>
      <c r="P37" s="25"/>
      <c r="Q37" s="57">
        <f t="shared" si="1"/>
        <v>0</v>
      </c>
      <c r="R37" s="58">
        <f t="shared" si="0"/>
        <v>11333.05</v>
      </c>
      <c r="S37" s="59">
        <f t="shared" si="2"/>
        <v>11333.05</v>
      </c>
      <c r="U37" s="62"/>
    </row>
    <row r="38" spans="1:21" s="4" customFormat="1" ht="15.75">
      <c r="A38" s="55">
        <v>34</v>
      </c>
      <c r="B38" s="56" t="s">
        <v>61</v>
      </c>
      <c r="C38" s="25">
        <v>5612.19</v>
      </c>
      <c r="D38" s="25">
        <v>7322.95</v>
      </c>
      <c r="E38" s="25">
        <v>2365.05</v>
      </c>
      <c r="F38" s="25">
        <v>2175.19</v>
      </c>
      <c r="G38" s="25">
        <v>886.46</v>
      </c>
      <c r="H38" s="25"/>
      <c r="I38" s="25"/>
      <c r="J38" s="25"/>
      <c r="K38" s="25"/>
      <c r="L38" s="25"/>
      <c r="M38" s="25"/>
      <c r="N38" s="25"/>
      <c r="O38" s="25"/>
      <c r="P38" s="25"/>
      <c r="Q38" s="57">
        <f t="shared" si="1"/>
        <v>0</v>
      </c>
      <c r="R38" s="58">
        <f t="shared" si="0"/>
        <v>18361.839999999997</v>
      </c>
      <c r="S38" s="59">
        <f t="shared" si="2"/>
        <v>18361.839999999997</v>
      </c>
      <c r="U38" s="62"/>
    </row>
    <row r="39" spans="1:21" s="4" customFormat="1" ht="16.5" thickBot="1">
      <c r="A39" s="55">
        <v>35</v>
      </c>
      <c r="B39" s="56" t="s">
        <v>71</v>
      </c>
      <c r="C39" s="25">
        <v>5635.71</v>
      </c>
      <c r="D39" s="25">
        <v>3668.71</v>
      </c>
      <c r="E39" s="25">
        <v>2727.64</v>
      </c>
      <c r="F39" s="25">
        <v>964.39</v>
      </c>
      <c r="G39" s="25">
        <v>367.56</v>
      </c>
      <c r="H39" s="25"/>
      <c r="I39" s="25"/>
      <c r="J39" s="25"/>
      <c r="K39" s="25"/>
      <c r="L39" s="25"/>
      <c r="M39" s="25"/>
      <c r="N39" s="25"/>
      <c r="O39" s="25"/>
      <c r="P39" s="25"/>
      <c r="Q39" s="57">
        <f t="shared" si="1"/>
        <v>0</v>
      </c>
      <c r="R39" s="58">
        <f t="shared" si="0"/>
        <v>13364.009999999998</v>
      </c>
      <c r="S39" s="59">
        <f t="shared" si="2"/>
        <v>13364.009999999998</v>
      </c>
      <c r="U39" s="62"/>
    </row>
    <row r="40" spans="1:56" s="49" customFormat="1" ht="26.25" customHeight="1" thickBot="1">
      <c r="A40" s="57"/>
      <c r="B40" s="57" t="s">
        <v>31</v>
      </c>
      <c r="C40" s="57">
        <f>SUM(C5:C39)</f>
        <v>796916.9099999999</v>
      </c>
      <c r="D40" s="57">
        <f>SUM(D5:D39)</f>
        <v>881934.4999999999</v>
      </c>
      <c r="E40" s="57">
        <f aca="true" t="shared" si="3" ref="E40:P40">SUM(E5:E39)</f>
        <v>656983.2300000001</v>
      </c>
      <c r="F40" s="57">
        <f t="shared" si="3"/>
        <v>97303.28000000001</v>
      </c>
      <c r="G40" s="57">
        <f t="shared" si="3"/>
        <v>96439.94000000005</v>
      </c>
      <c r="H40" s="57">
        <f t="shared" si="3"/>
        <v>11078.01</v>
      </c>
      <c r="I40" s="57">
        <f t="shared" si="3"/>
        <v>655.5799999999999</v>
      </c>
      <c r="J40" s="57">
        <f t="shared" si="3"/>
        <v>6690.5599999999995</v>
      </c>
      <c r="K40" s="57">
        <f t="shared" si="3"/>
        <v>16830.45</v>
      </c>
      <c r="L40" s="57">
        <f t="shared" si="3"/>
        <v>191712.3</v>
      </c>
      <c r="M40" s="57">
        <f t="shared" si="3"/>
        <v>10702.28</v>
      </c>
      <c r="N40" s="57">
        <f t="shared" si="3"/>
        <v>58144.75</v>
      </c>
      <c r="O40" s="57">
        <f t="shared" si="3"/>
        <v>4183.54</v>
      </c>
      <c r="P40" s="57">
        <f t="shared" si="3"/>
        <v>36547.62</v>
      </c>
      <c r="Q40" s="57">
        <f>SUM(Q5:Q39)</f>
        <v>336545.0900000001</v>
      </c>
      <c r="R40" s="58">
        <f>SUM(R5:R39)</f>
        <v>2866122.9499999993</v>
      </c>
      <c r="S40" s="59">
        <f>SUM(S5:S39)</f>
        <v>2529577.86</v>
      </c>
      <c r="T40" s="4"/>
      <c r="U40" s="62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2:19" ht="15.75">
      <c r="B41" s="29"/>
      <c r="C41" s="30"/>
      <c r="D41" s="30"/>
      <c r="E41" s="30"/>
      <c r="F41" s="31"/>
      <c r="G41" s="31"/>
      <c r="H41" s="32"/>
      <c r="I41" s="30"/>
      <c r="J41" s="30"/>
      <c r="K41" s="30"/>
      <c r="L41" s="30"/>
      <c r="M41" s="30"/>
      <c r="N41" s="30"/>
      <c r="O41" s="30"/>
      <c r="P41" s="30"/>
      <c r="Q41" s="30"/>
      <c r="S41" s="32"/>
    </row>
    <row r="42" spans="2:19" ht="15.75">
      <c r="B42" s="33"/>
      <c r="C42" s="30"/>
      <c r="D42" s="30"/>
      <c r="E42" s="30"/>
      <c r="F42" s="31"/>
      <c r="G42" s="31"/>
      <c r="H42" s="32"/>
      <c r="I42" s="30"/>
      <c r="J42" s="30"/>
      <c r="K42" s="30"/>
      <c r="L42" s="30"/>
      <c r="M42" s="30"/>
      <c r="N42" s="30"/>
      <c r="O42" s="30"/>
      <c r="P42" s="30"/>
      <c r="Q42" s="30"/>
      <c r="S42" s="32"/>
    </row>
    <row r="43" spans="2:18" ht="15">
      <c r="B43" s="8"/>
      <c r="C43" s="1"/>
      <c r="D43" s="1"/>
      <c r="E43" s="1"/>
      <c r="F43" s="2"/>
      <c r="G43" s="2"/>
      <c r="H43" s="15"/>
      <c r="I43" s="1"/>
      <c r="J43" s="1"/>
      <c r="K43" s="1"/>
      <c r="L43" s="1"/>
      <c r="M43" s="1"/>
      <c r="N43" s="1"/>
      <c r="O43" s="1"/>
      <c r="P43" s="1"/>
      <c r="Q43" s="1"/>
      <c r="R43" s="3"/>
    </row>
    <row r="44" spans="2:17" ht="15">
      <c r="B44" s="8"/>
      <c r="C44" s="1"/>
      <c r="D44" s="1"/>
      <c r="E44" s="1"/>
      <c r="F44" s="2"/>
      <c r="G44" s="2"/>
      <c r="H44" s="16"/>
      <c r="I44" s="1"/>
      <c r="J44" s="1"/>
      <c r="K44" s="1"/>
      <c r="L44" s="1"/>
      <c r="M44" s="1"/>
      <c r="N44" s="1"/>
      <c r="O44" s="1"/>
      <c r="P44" s="1"/>
      <c r="Q44" s="1"/>
    </row>
    <row r="45" spans="2:17" ht="15">
      <c r="B45" s="8"/>
      <c r="C45" s="1"/>
      <c r="D45" s="1"/>
      <c r="E45" s="1"/>
      <c r="F45" s="2"/>
      <c r="G45" s="2"/>
      <c r="H45" s="15"/>
      <c r="I45" s="1"/>
      <c r="J45" s="1"/>
      <c r="K45" s="1"/>
      <c r="L45" s="1"/>
      <c r="M45" s="1"/>
      <c r="N45" s="1"/>
      <c r="O45" s="1"/>
      <c r="P45" s="1"/>
      <c r="Q45" s="1"/>
    </row>
    <row r="46" spans="2:17" ht="15">
      <c r="B46" s="8"/>
      <c r="C46" s="1"/>
      <c r="D46" s="1"/>
      <c r="E46" s="1"/>
      <c r="F46" s="2"/>
      <c r="G46" s="2"/>
      <c r="H46" s="15"/>
      <c r="I46" s="1"/>
      <c r="J46" s="1"/>
      <c r="K46" s="1"/>
      <c r="L46" s="1"/>
      <c r="M46" s="1"/>
      <c r="N46" s="1"/>
      <c r="O46" s="1"/>
      <c r="P46" s="1"/>
      <c r="Q46" s="1"/>
    </row>
    <row r="47" spans="2:19" ht="12.75">
      <c r="B47" s="14"/>
      <c r="S47" s="63"/>
    </row>
    <row r="48" spans="2:12" ht="12.75">
      <c r="B48" s="9"/>
      <c r="F48" s="3"/>
      <c r="G48" s="3"/>
      <c r="L48" s="3"/>
    </row>
    <row r="49" ht="12.75">
      <c r="B49" s="9"/>
    </row>
    <row r="50" ht="12.75">
      <c r="B50" s="9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ht="12.75">
      <c r="B55" s="9"/>
    </row>
    <row r="56" ht="12.75">
      <c r="B56" s="9"/>
    </row>
    <row r="57" spans="2:19" ht="12.75">
      <c r="B57" s="10"/>
      <c r="C57" s="4"/>
      <c r="D57" s="4"/>
      <c r="E57" s="4"/>
      <c r="F57" s="4"/>
      <c r="G57" s="4"/>
      <c r="H57" s="18"/>
      <c r="I57" s="4"/>
      <c r="J57" s="4"/>
      <c r="K57" s="4"/>
      <c r="L57" s="4"/>
      <c r="M57" s="4"/>
      <c r="N57" s="4"/>
      <c r="O57" s="4"/>
      <c r="P57" s="4"/>
      <c r="Q57" s="4"/>
      <c r="R57" s="4"/>
      <c r="S57" s="13"/>
    </row>
    <row r="58" spans="2:19" ht="12.75">
      <c r="B58" s="10"/>
      <c r="C58" s="4"/>
      <c r="D58" s="4"/>
      <c r="E58" s="4"/>
      <c r="F58" s="4"/>
      <c r="G58" s="4"/>
      <c r="H58" s="18"/>
      <c r="I58" s="4"/>
      <c r="J58" s="4"/>
      <c r="K58" s="4"/>
      <c r="L58" s="4"/>
      <c r="M58" s="4"/>
      <c r="N58" s="4"/>
      <c r="O58" s="4"/>
      <c r="P58" s="4"/>
      <c r="Q58" s="4"/>
      <c r="R58" s="4"/>
      <c r="S58" s="13"/>
    </row>
    <row r="59" spans="2:19" ht="12.75">
      <c r="B59" s="10"/>
      <c r="C59" s="4"/>
      <c r="D59" s="4"/>
      <c r="E59" s="4"/>
      <c r="F59" s="4"/>
      <c r="G59" s="4"/>
      <c r="H59" s="18"/>
      <c r="I59" s="4"/>
      <c r="J59" s="4"/>
      <c r="K59" s="4"/>
      <c r="L59" s="4"/>
      <c r="M59" s="4"/>
      <c r="N59" s="4"/>
      <c r="O59" s="4"/>
      <c r="P59" s="4"/>
      <c r="Q59" s="4"/>
      <c r="R59" s="4"/>
      <c r="S59" s="13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  <row r="267" ht="12.75">
      <c r="B267" s="9"/>
    </row>
    <row r="268" ht="12.75">
      <c r="B268" s="9"/>
    </row>
    <row r="269" ht="12.75">
      <c r="B269" s="9"/>
    </row>
    <row r="270" ht="12.75">
      <c r="B270" s="9"/>
    </row>
    <row r="271" ht="12.75">
      <c r="B271" s="9"/>
    </row>
  </sheetData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G41"/>
  <sheetViews>
    <sheetView workbookViewId="0" topLeftCell="A1">
      <selection activeCell="C45" sqref="C45"/>
    </sheetView>
  </sheetViews>
  <sheetFormatPr defaultColWidth="9.140625" defaultRowHeight="12.75"/>
  <cols>
    <col min="2" max="2" width="33.7109375" style="0" customWidth="1"/>
    <col min="3" max="3" width="15.28125" style="0" customWidth="1"/>
  </cols>
  <sheetData>
    <row r="3" spans="1:7" ht="15">
      <c r="A3" s="79" t="s">
        <v>87</v>
      </c>
      <c r="B3" s="79"/>
      <c r="C3" s="79"/>
      <c r="D3" s="79"/>
      <c r="E3" s="79"/>
      <c r="F3" s="79"/>
      <c r="G3" s="79"/>
    </row>
    <row r="4" spans="1:7" ht="14.25">
      <c r="A4" s="81"/>
      <c r="B4" s="81"/>
      <c r="C4" s="81"/>
      <c r="D4" s="36"/>
      <c r="E4" s="36"/>
      <c r="F4" s="36"/>
      <c r="G4" s="36"/>
    </row>
    <row r="5" spans="1:7" ht="15.75">
      <c r="A5" s="50" t="s">
        <v>0</v>
      </c>
      <c r="B5" s="51" t="s">
        <v>1</v>
      </c>
      <c r="C5" s="50" t="s">
        <v>62</v>
      </c>
      <c r="D5" s="36"/>
      <c r="E5" s="36"/>
      <c r="F5" s="36"/>
      <c r="G5" s="36"/>
    </row>
    <row r="6" spans="1:7" ht="15.75">
      <c r="A6" s="55">
        <v>1</v>
      </c>
      <c r="B6" s="56" t="s">
        <v>6</v>
      </c>
      <c r="C6" s="6"/>
      <c r="D6" s="36"/>
      <c r="E6" s="36"/>
      <c r="F6" s="36"/>
      <c r="G6" s="36"/>
    </row>
    <row r="7" spans="1:7" ht="15.75">
      <c r="A7" s="55">
        <v>2</v>
      </c>
      <c r="B7" s="56" t="s">
        <v>7</v>
      </c>
      <c r="C7" s="6"/>
      <c r="D7" s="36"/>
      <c r="E7" s="36"/>
      <c r="F7" s="36"/>
      <c r="G7" s="36"/>
    </row>
    <row r="8" spans="1:3" ht="15.75">
      <c r="A8" s="55">
        <v>3</v>
      </c>
      <c r="B8" s="56" t="s">
        <v>8</v>
      </c>
      <c r="C8" s="66"/>
    </row>
    <row r="9" spans="1:3" ht="15.75">
      <c r="A9" s="55">
        <v>4</v>
      </c>
      <c r="B9" s="56" t="s">
        <v>9</v>
      </c>
      <c r="C9" s="66"/>
    </row>
    <row r="10" spans="1:3" ht="15.75">
      <c r="A10" s="55">
        <v>5</v>
      </c>
      <c r="B10" s="56" t="s">
        <v>10</v>
      </c>
      <c r="C10" s="66"/>
    </row>
    <row r="11" spans="1:3" ht="15.75">
      <c r="A11" s="55">
        <v>6</v>
      </c>
      <c r="B11" s="56" t="s">
        <v>11</v>
      </c>
      <c r="C11" s="66"/>
    </row>
    <row r="12" spans="1:3" ht="15.75">
      <c r="A12" s="55">
        <v>7</v>
      </c>
      <c r="B12" s="56" t="s">
        <v>59</v>
      </c>
      <c r="C12" s="66"/>
    </row>
    <row r="13" spans="1:3" ht="15.75">
      <c r="A13" s="55">
        <v>8</v>
      </c>
      <c r="B13" s="56" t="s">
        <v>12</v>
      </c>
      <c r="C13" s="66">
        <v>30005.73</v>
      </c>
    </row>
    <row r="14" spans="1:3" ht="15.75">
      <c r="A14" s="55">
        <v>9</v>
      </c>
      <c r="B14" s="56" t="s">
        <v>13</v>
      </c>
      <c r="C14" s="66"/>
    </row>
    <row r="15" spans="1:3" ht="15.75">
      <c r="A15" s="55">
        <v>10</v>
      </c>
      <c r="B15" s="56" t="s">
        <v>14</v>
      </c>
      <c r="C15" s="66"/>
    </row>
    <row r="16" spans="1:3" ht="15.75">
      <c r="A16" s="55">
        <v>11</v>
      </c>
      <c r="B16" s="56" t="s">
        <v>15</v>
      </c>
      <c r="C16" s="66"/>
    </row>
    <row r="17" spans="1:3" ht="15.75">
      <c r="A17" s="55">
        <v>12</v>
      </c>
      <c r="B17" s="56" t="s">
        <v>16</v>
      </c>
      <c r="C17" s="66"/>
    </row>
    <row r="18" spans="1:3" ht="15.75">
      <c r="A18" s="55">
        <v>13</v>
      </c>
      <c r="B18" s="56" t="s">
        <v>17</v>
      </c>
      <c r="C18" s="66"/>
    </row>
    <row r="19" spans="1:3" ht="15.75">
      <c r="A19" s="55">
        <v>14</v>
      </c>
      <c r="B19" s="56" t="s">
        <v>18</v>
      </c>
      <c r="C19" s="66"/>
    </row>
    <row r="20" spans="1:3" ht="15.75">
      <c r="A20" s="55">
        <v>15</v>
      </c>
      <c r="B20" s="56" t="s">
        <v>19</v>
      </c>
      <c r="C20" s="66"/>
    </row>
    <row r="21" spans="1:3" ht="15.75">
      <c r="A21" s="55">
        <v>16</v>
      </c>
      <c r="B21" s="56" t="s">
        <v>20</v>
      </c>
      <c r="C21" s="66"/>
    </row>
    <row r="22" spans="1:3" ht="15.75">
      <c r="A22" s="55">
        <v>17</v>
      </c>
      <c r="B22" s="56" t="s">
        <v>21</v>
      </c>
      <c r="C22" s="66"/>
    </row>
    <row r="23" spans="1:3" ht="15.75">
      <c r="A23" s="55">
        <v>18</v>
      </c>
      <c r="B23" s="56" t="s">
        <v>22</v>
      </c>
      <c r="C23" s="66">
        <v>559.92</v>
      </c>
    </row>
    <row r="24" spans="1:3" ht="15.75">
      <c r="A24" s="55">
        <v>19</v>
      </c>
      <c r="B24" s="56" t="s">
        <v>23</v>
      </c>
      <c r="C24" s="66"/>
    </row>
    <row r="25" spans="1:3" ht="15.75">
      <c r="A25" s="55">
        <v>20</v>
      </c>
      <c r="B25" s="56" t="s">
        <v>24</v>
      </c>
      <c r="C25" s="66"/>
    </row>
    <row r="26" spans="1:3" ht="15.75">
      <c r="A26" s="55">
        <v>21</v>
      </c>
      <c r="B26" s="56" t="s">
        <v>25</v>
      </c>
      <c r="C26" s="66"/>
    </row>
    <row r="27" spans="1:3" ht="15.75">
      <c r="A27" s="55">
        <v>22</v>
      </c>
      <c r="B27" s="56" t="s">
        <v>26</v>
      </c>
      <c r="C27" s="66"/>
    </row>
    <row r="28" spans="1:3" ht="15.75">
      <c r="A28" s="55">
        <v>23</v>
      </c>
      <c r="B28" s="56" t="s">
        <v>27</v>
      </c>
      <c r="C28" s="66"/>
    </row>
    <row r="29" spans="1:3" ht="15.75">
      <c r="A29" s="55">
        <v>24</v>
      </c>
      <c r="B29" s="56" t="s">
        <v>28</v>
      </c>
      <c r="C29" s="66"/>
    </row>
    <row r="30" spans="1:3" ht="15.75">
      <c r="A30" s="55">
        <v>25</v>
      </c>
      <c r="B30" s="56" t="s">
        <v>29</v>
      </c>
      <c r="C30" s="66">
        <v>663.78</v>
      </c>
    </row>
    <row r="31" spans="1:3" ht="15.75">
      <c r="A31" s="55">
        <v>26</v>
      </c>
      <c r="B31" s="56" t="s">
        <v>30</v>
      </c>
      <c r="C31" s="66"/>
    </row>
    <row r="32" spans="1:3" ht="15.75">
      <c r="A32" s="55">
        <v>27</v>
      </c>
      <c r="B32" s="56" t="s">
        <v>40</v>
      </c>
      <c r="C32" s="66"/>
    </row>
    <row r="33" spans="1:3" ht="15.75">
      <c r="A33" s="55">
        <v>28</v>
      </c>
      <c r="B33" s="56" t="s">
        <v>41</v>
      </c>
      <c r="C33" s="66"/>
    </row>
    <row r="34" spans="1:3" ht="15.75">
      <c r="A34" s="55">
        <v>29</v>
      </c>
      <c r="B34" s="56" t="s">
        <v>42</v>
      </c>
      <c r="C34" s="66"/>
    </row>
    <row r="35" spans="1:3" ht="15.75">
      <c r="A35" s="55">
        <v>30</v>
      </c>
      <c r="B35" s="56" t="s">
        <v>44</v>
      </c>
      <c r="C35" s="66"/>
    </row>
    <row r="36" spans="1:3" ht="15.75">
      <c r="A36" s="55">
        <v>31</v>
      </c>
      <c r="B36" s="56" t="s">
        <v>45</v>
      </c>
      <c r="C36" s="66"/>
    </row>
    <row r="37" spans="1:3" ht="15.75">
      <c r="A37" s="55">
        <v>32</v>
      </c>
      <c r="B37" s="56" t="s">
        <v>47</v>
      </c>
      <c r="C37" s="66"/>
    </row>
    <row r="38" spans="1:3" ht="15.75">
      <c r="A38" s="55">
        <v>33</v>
      </c>
      <c r="B38" s="56" t="s">
        <v>60</v>
      </c>
      <c r="C38" s="66"/>
    </row>
    <row r="39" spans="1:3" ht="15.75">
      <c r="A39" s="55">
        <v>34</v>
      </c>
      <c r="B39" s="56" t="s">
        <v>61</v>
      </c>
      <c r="C39" s="66"/>
    </row>
    <row r="40" spans="1:3" ht="15.75">
      <c r="A40" s="55">
        <v>35</v>
      </c>
      <c r="B40" s="56" t="s">
        <v>71</v>
      </c>
      <c r="C40" s="66"/>
    </row>
    <row r="41" spans="1:3" ht="15.75">
      <c r="A41" s="57"/>
      <c r="B41" s="57" t="s">
        <v>31</v>
      </c>
      <c r="C41" s="67">
        <f>SUM(C6:C40)</f>
        <v>31229.429999999997</v>
      </c>
    </row>
  </sheetData>
  <mergeCells count="2">
    <mergeCell ref="A3:G3"/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H41"/>
  <sheetViews>
    <sheetView workbookViewId="0" topLeftCell="A1">
      <selection activeCell="H40" sqref="H40"/>
    </sheetView>
  </sheetViews>
  <sheetFormatPr defaultColWidth="9.140625" defaultRowHeight="12.75"/>
  <cols>
    <col min="2" max="2" width="30.421875" style="0" customWidth="1"/>
    <col min="3" max="3" width="12.57421875" style="0" customWidth="1"/>
    <col min="8" max="8" width="12.7109375" style="0" customWidth="1"/>
  </cols>
  <sheetData>
    <row r="3" spans="1:8" ht="15">
      <c r="A3" s="79" t="s">
        <v>86</v>
      </c>
      <c r="B3" s="79"/>
      <c r="C3" s="79"/>
      <c r="D3" s="79"/>
      <c r="E3" s="79"/>
      <c r="F3" s="79"/>
      <c r="G3" s="79"/>
      <c r="H3" s="79"/>
    </row>
    <row r="4" spans="1:8" ht="14.25">
      <c r="A4" s="36"/>
      <c r="B4" s="36"/>
      <c r="C4" s="38"/>
      <c r="D4" s="1"/>
      <c r="E4" s="1"/>
      <c r="F4" s="1"/>
      <c r="G4" s="36"/>
      <c r="H4" s="36"/>
    </row>
    <row r="5" spans="1:3" ht="15.75">
      <c r="A5" s="50" t="s">
        <v>0</v>
      </c>
      <c r="B5" s="51" t="s">
        <v>1</v>
      </c>
      <c r="C5" s="51" t="s">
        <v>70</v>
      </c>
    </row>
    <row r="6" spans="1:3" ht="15.75">
      <c r="A6" s="55">
        <v>1</v>
      </c>
      <c r="B6" s="56" t="s">
        <v>6</v>
      </c>
      <c r="C6" s="66"/>
    </row>
    <row r="7" spans="1:3" ht="15.75">
      <c r="A7" s="55">
        <v>2</v>
      </c>
      <c r="B7" s="56" t="s">
        <v>7</v>
      </c>
      <c r="C7" s="66"/>
    </row>
    <row r="8" spans="1:3" ht="15.75">
      <c r="A8" s="55">
        <v>3</v>
      </c>
      <c r="B8" s="56" t="s">
        <v>8</v>
      </c>
      <c r="C8" s="66"/>
    </row>
    <row r="9" spans="1:3" ht="15.75">
      <c r="A9" s="55">
        <v>4</v>
      </c>
      <c r="B9" s="56" t="s">
        <v>9</v>
      </c>
      <c r="C9" s="66"/>
    </row>
    <row r="10" spans="1:3" ht="15.75">
      <c r="A10" s="55">
        <v>5</v>
      </c>
      <c r="B10" s="56" t="s">
        <v>10</v>
      </c>
      <c r="C10" s="66"/>
    </row>
    <row r="11" spans="1:3" ht="15.75">
      <c r="A11" s="55">
        <v>6</v>
      </c>
      <c r="B11" s="56" t="s">
        <v>11</v>
      </c>
      <c r="C11" s="66">
        <v>807.6</v>
      </c>
    </row>
    <row r="12" spans="1:3" ht="15.75">
      <c r="A12" s="55">
        <v>7</v>
      </c>
      <c r="B12" s="56" t="s">
        <v>59</v>
      </c>
      <c r="C12" s="66"/>
    </row>
    <row r="13" spans="1:3" ht="15.75">
      <c r="A13" s="55">
        <v>8</v>
      </c>
      <c r="B13" s="56" t="s">
        <v>12</v>
      </c>
      <c r="C13" s="66"/>
    </row>
    <row r="14" spans="1:3" ht="15.75">
      <c r="A14" s="55">
        <v>9</v>
      </c>
      <c r="B14" s="56" t="s">
        <v>13</v>
      </c>
      <c r="C14" s="66"/>
    </row>
    <row r="15" spans="1:3" ht="15.75">
      <c r="A15" s="55">
        <v>10</v>
      </c>
      <c r="B15" s="56" t="s">
        <v>14</v>
      </c>
      <c r="C15" s="66"/>
    </row>
    <row r="16" spans="1:3" ht="15.75">
      <c r="A16" s="55">
        <v>11</v>
      </c>
      <c r="B16" s="56" t="s">
        <v>15</v>
      </c>
      <c r="C16" s="66"/>
    </row>
    <row r="17" spans="1:3" ht="15.75">
      <c r="A17" s="55">
        <v>12</v>
      </c>
      <c r="B17" s="56" t="s">
        <v>16</v>
      </c>
      <c r="C17" s="66"/>
    </row>
    <row r="18" spans="1:3" ht="15.75">
      <c r="A18" s="55">
        <v>13</v>
      </c>
      <c r="B18" s="56" t="s">
        <v>17</v>
      </c>
      <c r="C18" s="66">
        <v>440.51</v>
      </c>
    </row>
    <row r="19" spans="1:3" ht="15.75">
      <c r="A19" s="55">
        <v>14</v>
      </c>
      <c r="B19" s="56" t="s">
        <v>18</v>
      </c>
      <c r="C19" s="66"/>
    </row>
    <row r="20" spans="1:3" ht="15.75">
      <c r="A20" s="55">
        <v>15</v>
      </c>
      <c r="B20" s="56" t="s">
        <v>19</v>
      </c>
      <c r="C20" s="66"/>
    </row>
    <row r="21" spans="1:3" ht="15.75">
      <c r="A21" s="55">
        <v>16</v>
      </c>
      <c r="B21" s="56" t="s">
        <v>20</v>
      </c>
      <c r="C21" s="66"/>
    </row>
    <row r="22" spans="1:3" ht="15.75">
      <c r="A22" s="55">
        <v>17</v>
      </c>
      <c r="B22" s="56" t="s">
        <v>21</v>
      </c>
      <c r="C22" s="66"/>
    </row>
    <row r="23" spans="1:3" ht="15.75">
      <c r="A23" s="55">
        <v>18</v>
      </c>
      <c r="B23" s="56" t="s">
        <v>22</v>
      </c>
      <c r="C23" s="66">
        <v>440.5</v>
      </c>
    </row>
    <row r="24" spans="1:3" ht="15.75">
      <c r="A24" s="55">
        <v>19</v>
      </c>
      <c r="B24" s="56" t="s">
        <v>23</v>
      </c>
      <c r="C24" s="66"/>
    </row>
    <row r="25" spans="1:3" ht="15.75">
      <c r="A25" s="55">
        <v>20</v>
      </c>
      <c r="B25" s="56" t="s">
        <v>24</v>
      </c>
      <c r="C25" s="66"/>
    </row>
    <row r="26" spans="1:3" ht="15.75">
      <c r="A26" s="55">
        <v>21</v>
      </c>
      <c r="B26" s="56" t="s">
        <v>25</v>
      </c>
      <c r="C26" s="66">
        <v>440.5</v>
      </c>
    </row>
    <row r="27" spans="1:3" ht="15.75">
      <c r="A27" s="55">
        <v>22</v>
      </c>
      <c r="B27" s="56" t="s">
        <v>26</v>
      </c>
      <c r="C27" s="66"/>
    </row>
    <row r="28" spans="1:3" ht="15.75">
      <c r="A28" s="55">
        <v>23</v>
      </c>
      <c r="B28" s="56" t="s">
        <v>27</v>
      </c>
      <c r="C28" s="66"/>
    </row>
    <row r="29" spans="1:3" ht="15.75">
      <c r="A29" s="55">
        <v>24</v>
      </c>
      <c r="B29" s="56" t="s">
        <v>28</v>
      </c>
      <c r="C29" s="66"/>
    </row>
    <row r="30" spans="1:3" ht="15.75">
      <c r="A30" s="55">
        <v>25</v>
      </c>
      <c r="B30" s="56" t="s">
        <v>29</v>
      </c>
      <c r="C30" s="66"/>
    </row>
    <row r="31" spans="1:3" ht="15.75">
      <c r="A31" s="55">
        <v>26</v>
      </c>
      <c r="B31" s="56" t="s">
        <v>30</v>
      </c>
      <c r="C31" s="66"/>
    </row>
    <row r="32" spans="1:3" ht="15.75">
      <c r="A32" s="55">
        <v>27</v>
      </c>
      <c r="B32" s="56" t="s">
        <v>40</v>
      </c>
      <c r="C32" s="66"/>
    </row>
    <row r="33" spans="1:3" ht="15.75">
      <c r="A33" s="55">
        <v>28</v>
      </c>
      <c r="B33" s="56" t="s">
        <v>41</v>
      </c>
      <c r="C33" s="66"/>
    </row>
    <row r="34" spans="1:3" ht="15.75">
      <c r="A34" s="55">
        <v>29</v>
      </c>
      <c r="B34" s="56" t="s">
        <v>42</v>
      </c>
      <c r="C34" s="66"/>
    </row>
    <row r="35" spans="1:3" ht="15.75">
      <c r="A35" s="55">
        <v>30</v>
      </c>
      <c r="B35" s="56" t="s">
        <v>44</v>
      </c>
      <c r="C35" s="66"/>
    </row>
    <row r="36" spans="1:3" ht="15.75">
      <c r="A36" s="55">
        <v>31</v>
      </c>
      <c r="B36" s="56" t="s">
        <v>45</v>
      </c>
      <c r="C36" s="66"/>
    </row>
    <row r="37" spans="1:3" ht="15.75">
      <c r="A37" s="55">
        <v>32</v>
      </c>
      <c r="B37" s="56" t="s">
        <v>47</v>
      </c>
      <c r="C37" s="66"/>
    </row>
    <row r="38" spans="1:3" ht="15.75">
      <c r="A38" s="55">
        <v>33</v>
      </c>
      <c r="B38" s="56" t="s">
        <v>60</v>
      </c>
      <c r="C38" s="66"/>
    </row>
    <row r="39" spans="1:3" ht="15.75">
      <c r="A39" s="55">
        <v>34</v>
      </c>
      <c r="B39" s="56" t="s">
        <v>61</v>
      </c>
      <c r="C39" s="66"/>
    </row>
    <row r="40" spans="1:3" ht="15.75">
      <c r="A40" s="55">
        <v>35</v>
      </c>
      <c r="B40" s="56" t="s">
        <v>71</v>
      </c>
      <c r="C40" s="66"/>
    </row>
    <row r="41" spans="1:3" ht="15.75">
      <c r="A41" s="57"/>
      <c r="B41" s="57" t="s">
        <v>31</v>
      </c>
      <c r="C41" s="67">
        <f>SUM(C6:C40)</f>
        <v>2129.11</v>
      </c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K41"/>
  <sheetViews>
    <sheetView view="pageBreakPreview" zoomScale="60" workbookViewId="0" topLeftCell="A1">
      <selection activeCell="K21" sqref="K21"/>
    </sheetView>
  </sheetViews>
  <sheetFormatPr defaultColWidth="9.140625" defaultRowHeight="12.75"/>
  <cols>
    <col min="1" max="1" width="9.57421875" style="0" bestFit="1" customWidth="1"/>
    <col min="2" max="2" width="33.28125" style="0" customWidth="1"/>
    <col min="3" max="3" width="15.140625" style="0" customWidth="1"/>
    <col min="4" max="4" width="12.57421875" style="0" bestFit="1" customWidth="1"/>
    <col min="5" max="5" width="10.8515625" style="0" customWidth="1"/>
    <col min="6" max="6" width="11.57421875" style="0" customWidth="1"/>
    <col min="7" max="7" width="13.7109375" style="0" customWidth="1"/>
    <col min="8" max="8" width="15.00390625" style="0" customWidth="1"/>
  </cols>
  <sheetData>
    <row r="3" spans="1:11" ht="15">
      <c r="A3" s="61" t="s">
        <v>80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4.25">
      <c r="A4" s="36"/>
      <c r="B4" s="36"/>
      <c r="C4" s="38"/>
      <c r="D4" s="1"/>
      <c r="E4" s="1"/>
      <c r="F4" s="1"/>
      <c r="G4" s="1"/>
      <c r="H4" s="1"/>
      <c r="I4" s="1"/>
      <c r="J4" s="36"/>
      <c r="K4" s="36"/>
    </row>
    <row r="5" spans="1:11" ht="30">
      <c r="A5" s="72" t="s">
        <v>0</v>
      </c>
      <c r="B5" s="72" t="s">
        <v>1</v>
      </c>
      <c r="C5" s="72" t="s">
        <v>72</v>
      </c>
      <c r="D5" s="72" t="s">
        <v>73</v>
      </c>
      <c r="E5" s="72" t="s">
        <v>76</v>
      </c>
      <c r="F5" s="72" t="s">
        <v>77</v>
      </c>
      <c r="G5" s="72" t="s">
        <v>74</v>
      </c>
      <c r="H5" s="73" t="s">
        <v>75</v>
      </c>
      <c r="I5" s="36"/>
      <c r="J5" s="36"/>
      <c r="K5" s="36"/>
    </row>
    <row r="6" spans="1:11" ht="15.75">
      <c r="A6" s="55">
        <v>1</v>
      </c>
      <c r="B6" s="56" t="s">
        <v>6</v>
      </c>
      <c r="C6" s="6">
        <v>653.56</v>
      </c>
      <c r="D6" s="70">
        <v>1939.74</v>
      </c>
      <c r="E6" s="70">
        <v>918.76</v>
      </c>
      <c r="F6" s="70"/>
      <c r="G6" s="70">
        <v>1754</v>
      </c>
      <c r="H6" s="68">
        <f>C6+D6+E6+F6+G6</f>
        <v>5266.06</v>
      </c>
      <c r="I6" s="36"/>
      <c r="J6" s="36"/>
      <c r="K6" s="36"/>
    </row>
    <row r="7" spans="1:8" ht="15.75">
      <c r="A7" s="55">
        <v>2</v>
      </c>
      <c r="B7" s="56" t="s">
        <v>7</v>
      </c>
      <c r="C7" s="66">
        <v>326.78</v>
      </c>
      <c r="D7" s="71"/>
      <c r="E7" s="71"/>
      <c r="F7" s="71"/>
      <c r="G7" s="71">
        <v>160.37</v>
      </c>
      <c r="H7" s="68">
        <f aca="true" t="shared" si="0" ref="H7:H41">C7+D7+E7+F7+G7</f>
        <v>487.15</v>
      </c>
    </row>
    <row r="8" spans="1:8" ht="15.75">
      <c r="A8" s="55">
        <v>3</v>
      </c>
      <c r="B8" s="56" t="s">
        <v>8</v>
      </c>
      <c r="C8" s="66"/>
      <c r="D8" s="71">
        <f>2065.18+709.3</f>
        <v>2774.4799999999996</v>
      </c>
      <c r="E8" s="71"/>
      <c r="F8" s="71"/>
      <c r="G8" s="71">
        <v>150.73</v>
      </c>
      <c r="H8" s="68">
        <f t="shared" si="0"/>
        <v>2925.2099999999996</v>
      </c>
    </row>
    <row r="9" spans="1:8" ht="15.75">
      <c r="A9" s="55">
        <v>4</v>
      </c>
      <c r="B9" s="56" t="s">
        <v>9</v>
      </c>
      <c r="C9" s="66">
        <v>326.78</v>
      </c>
      <c r="D9" s="71"/>
      <c r="E9" s="71"/>
      <c r="F9" s="71"/>
      <c r="G9" s="71"/>
      <c r="H9" s="68">
        <f t="shared" si="0"/>
        <v>326.78</v>
      </c>
    </row>
    <row r="10" spans="1:8" ht="15.75">
      <c r="A10" s="55">
        <v>5</v>
      </c>
      <c r="B10" s="56" t="s">
        <v>10</v>
      </c>
      <c r="C10" s="66"/>
      <c r="D10" s="71">
        <v>2192.45</v>
      </c>
      <c r="E10" s="71"/>
      <c r="F10" s="71"/>
      <c r="G10" s="71">
        <v>332.19</v>
      </c>
      <c r="H10" s="68">
        <f t="shared" si="0"/>
        <v>2524.64</v>
      </c>
    </row>
    <row r="11" spans="1:8" ht="15.75">
      <c r="A11" s="55">
        <v>6</v>
      </c>
      <c r="B11" s="56" t="s">
        <v>11</v>
      </c>
      <c r="C11" s="66">
        <f>653.56+326.78</f>
        <v>980.3399999999999</v>
      </c>
      <c r="D11" s="71">
        <v>759.96</v>
      </c>
      <c r="E11" s="71"/>
      <c r="F11" s="71"/>
      <c r="G11" s="71">
        <f>482.92+372.22+762.87+150.73</f>
        <v>1768.7400000000002</v>
      </c>
      <c r="H11" s="68">
        <f t="shared" si="0"/>
        <v>3509.04</v>
      </c>
    </row>
    <row r="12" spans="1:8" ht="15.75">
      <c r="A12" s="55">
        <v>7</v>
      </c>
      <c r="B12" s="56" t="s">
        <v>59</v>
      </c>
      <c r="C12" s="66"/>
      <c r="D12" s="71">
        <f>646.58</f>
        <v>646.58</v>
      </c>
      <c r="E12" s="71">
        <v>459.38</v>
      </c>
      <c r="F12" s="71"/>
      <c r="G12" s="71">
        <f>504.01+160.37+163.23+311.09+362.8</f>
        <v>1501.5</v>
      </c>
      <c r="H12" s="68">
        <f t="shared" si="0"/>
        <v>2607.46</v>
      </c>
    </row>
    <row r="13" spans="1:8" ht="15.75">
      <c r="A13" s="55">
        <v>8</v>
      </c>
      <c r="B13" s="56" t="s">
        <v>12</v>
      </c>
      <c r="C13" s="66"/>
      <c r="D13" s="71"/>
      <c r="E13" s="71">
        <v>918.76</v>
      </c>
      <c r="F13" s="71"/>
      <c r="G13" s="71">
        <v>744.44</v>
      </c>
      <c r="H13" s="68">
        <f t="shared" si="0"/>
        <v>1663.2</v>
      </c>
    </row>
    <row r="14" spans="1:8" ht="15.75">
      <c r="A14" s="55">
        <v>9</v>
      </c>
      <c r="B14" s="56" t="s">
        <v>13</v>
      </c>
      <c r="C14" s="66">
        <f>326.78+653.56</f>
        <v>980.3399999999999</v>
      </c>
      <c r="D14" s="71">
        <v>709.3</v>
      </c>
      <c r="E14" s="71"/>
      <c r="F14" s="71"/>
      <c r="G14" s="71">
        <f>160.37+320.73</f>
        <v>481.1</v>
      </c>
      <c r="H14" s="68">
        <f t="shared" si="0"/>
        <v>2170.74</v>
      </c>
    </row>
    <row r="15" spans="1:8" ht="15.75">
      <c r="A15" s="55">
        <v>10</v>
      </c>
      <c r="B15" s="56" t="s">
        <v>14</v>
      </c>
      <c r="C15" s="66">
        <v>653.56</v>
      </c>
      <c r="D15" s="71">
        <f>709.3+646.58</f>
        <v>1355.88</v>
      </c>
      <c r="E15" s="71"/>
      <c r="F15" s="71"/>
      <c r="G15" s="71">
        <f>1446.39+975.35+80.18</f>
        <v>2501.92</v>
      </c>
      <c r="H15" s="68">
        <f t="shared" si="0"/>
        <v>4511.360000000001</v>
      </c>
    </row>
    <row r="16" spans="1:8" ht="15.75">
      <c r="A16" s="55">
        <v>11</v>
      </c>
      <c r="B16" s="56" t="s">
        <v>15</v>
      </c>
      <c r="C16" s="66">
        <v>980.34</v>
      </c>
      <c r="D16" s="71"/>
      <c r="E16" s="71"/>
      <c r="F16" s="71"/>
      <c r="G16" s="71">
        <v>1103.3</v>
      </c>
      <c r="H16" s="68">
        <f t="shared" si="0"/>
        <v>2083.64</v>
      </c>
    </row>
    <row r="17" spans="1:8" ht="15.75">
      <c r="A17" s="55">
        <v>12</v>
      </c>
      <c r="B17" s="56" t="s">
        <v>16</v>
      </c>
      <c r="C17" s="66">
        <v>326.78</v>
      </c>
      <c r="D17" s="71"/>
      <c r="E17" s="71"/>
      <c r="F17" s="71"/>
      <c r="G17" s="71">
        <v>150.73</v>
      </c>
      <c r="H17" s="68">
        <f t="shared" si="0"/>
        <v>477.51</v>
      </c>
    </row>
    <row r="18" spans="1:8" ht="15.75">
      <c r="A18" s="55">
        <v>13</v>
      </c>
      <c r="B18" s="56" t="s">
        <v>17</v>
      </c>
      <c r="C18" s="66">
        <v>653.56</v>
      </c>
      <c r="D18" s="71">
        <v>709.3</v>
      </c>
      <c r="E18" s="71">
        <v>492.19</v>
      </c>
      <c r="F18" s="71"/>
      <c r="G18" s="71">
        <v>902.84</v>
      </c>
      <c r="H18" s="68">
        <f t="shared" si="0"/>
        <v>2757.89</v>
      </c>
    </row>
    <row r="19" spans="1:8" ht="15.75">
      <c r="A19" s="55">
        <v>14</v>
      </c>
      <c r="B19" s="56" t="s">
        <v>18</v>
      </c>
      <c r="C19" s="66"/>
      <c r="D19" s="71"/>
      <c r="E19" s="71"/>
      <c r="F19" s="71"/>
      <c r="G19" s="71">
        <v>141.31</v>
      </c>
      <c r="H19" s="68">
        <f t="shared" si="0"/>
        <v>141.31</v>
      </c>
    </row>
    <row r="20" spans="1:8" ht="15.75">
      <c r="A20" s="55">
        <v>15</v>
      </c>
      <c r="B20" s="56" t="s">
        <v>19</v>
      </c>
      <c r="C20" s="66"/>
      <c r="D20" s="71"/>
      <c r="E20" s="71"/>
      <c r="F20" s="71"/>
      <c r="G20" s="71"/>
      <c r="H20" s="68">
        <f t="shared" si="0"/>
        <v>0</v>
      </c>
    </row>
    <row r="21" spans="1:8" ht="15.75">
      <c r="A21" s="55">
        <v>16</v>
      </c>
      <c r="B21" s="56" t="s">
        <v>20</v>
      </c>
      <c r="C21" s="66">
        <v>326.78</v>
      </c>
      <c r="D21" s="71"/>
      <c r="E21" s="71"/>
      <c r="F21" s="71"/>
      <c r="G21" s="71"/>
      <c r="H21" s="68">
        <f t="shared" si="0"/>
        <v>326.78</v>
      </c>
    </row>
    <row r="22" spans="1:8" ht="15.75">
      <c r="A22" s="55">
        <v>17</v>
      </c>
      <c r="B22" s="56" t="s">
        <v>21</v>
      </c>
      <c r="C22" s="66">
        <v>326.78</v>
      </c>
      <c r="D22" s="71"/>
      <c r="E22" s="71"/>
      <c r="F22" s="71"/>
      <c r="G22" s="71">
        <v>131.88</v>
      </c>
      <c r="H22" s="68">
        <f t="shared" si="0"/>
        <v>458.65999999999997</v>
      </c>
    </row>
    <row r="23" spans="1:8" ht="15.75">
      <c r="A23" s="55">
        <v>18</v>
      </c>
      <c r="B23" s="56" t="s">
        <v>22</v>
      </c>
      <c r="C23" s="66">
        <f>326.78+326.77</f>
        <v>653.55</v>
      </c>
      <c r="D23" s="71">
        <v>481.3</v>
      </c>
      <c r="E23" s="71"/>
      <c r="F23" s="71"/>
      <c r="G23" s="71">
        <f>692.74+150.72+1263.2</f>
        <v>2106.66</v>
      </c>
      <c r="H23" s="68">
        <f t="shared" si="0"/>
        <v>3241.5099999999998</v>
      </c>
    </row>
    <row r="24" spans="1:8" ht="15.75">
      <c r="A24" s="55">
        <v>19</v>
      </c>
      <c r="B24" s="56" t="s">
        <v>23</v>
      </c>
      <c r="C24" s="66"/>
      <c r="D24" s="71"/>
      <c r="E24" s="71"/>
      <c r="F24" s="71"/>
      <c r="G24" s="71"/>
      <c r="H24" s="68">
        <f t="shared" si="0"/>
        <v>0</v>
      </c>
    </row>
    <row r="25" spans="1:8" ht="15.75">
      <c r="A25" s="55">
        <v>20</v>
      </c>
      <c r="B25" s="56" t="s">
        <v>24</v>
      </c>
      <c r="C25" s="66"/>
      <c r="D25" s="71"/>
      <c r="E25" s="71"/>
      <c r="F25" s="71"/>
      <c r="G25" s="71">
        <f>150.73+171.82</f>
        <v>322.54999999999995</v>
      </c>
      <c r="H25" s="68">
        <f t="shared" si="0"/>
        <v>322.54999999999995</v>
      </c>
    </row>
    <row r="26" spans="1:8" ht="15.75">
      <c r="A26" s="55">
        <v>21</v>
      </c>
      <c r="B26" s="56" t="s">
        <v>25</v>
      </c>
      <c r="C26" s="66">
        <f>326.77+326.77</f>
        <v>653.54</v>
      </c>
      <c r="D26" s="71"/>
      <c r="E26" s="71"/>
      <c r="F26" s="71"/>
      <c r="G26" s="71">
        <f>160.36+292.02+631.8+702.34</f>
        <v>1786.52</v>
      </c>
      <c r="H26" s="68">
        <f t="shared" si="0"/>
        <v>2440.06</v>
      </c>
    </row>
    <row r="27" spans="1:8" ht="15.75">
      <c r="A27" s="55">
        <v>22</v>
      </c>
      <c r="B27" s="56" t="s">
        <v>26</v>
      </c>
      <c r="C27" s="66"/>
      <c r="D27" s="71">
        <v>646.57</v>
      </c>
      <c r="E27" s="71"/>
      <c r="F27" s="71"/>
      <c r="G27" s="71">
        <v>301.66</v>
      </c>
      <c r="H27" s="68">
        <f t="shared" si="0"/>
        <v>948.23</v>
      </c>
    </row>
    <row r="28" spans="1:8" ht="15.75">
      <c r="A28" s="55">
        <v>23</v>
      </c>
      <c r="B28" s="56" t="s">
        <v>27</v>
      </c>
      <c r="C28" s="66"/>
      <c r="D28" s="71"/>
      <c r="E28" s="71"/>
      <c r="F28" s="71"/>
      <c r="G28" s="71"/>
      <c r="H28" s="68">
        <f t="shared" si="0"/>
        <v>0</v>
      </c>
    </row>
    <row r="29" spans="1:8" ht="15.75">
      <c r="A29" s="55">
        <v>24</v>
      </c>
      <c r="B29" s="56" t="s">
        <v>28</v>
      </c>
      <c r="C29" s="66"/>
      <c r="D29" s="71"/>
      <c r="E29" s="71"/>
      <c r="F29" s="71"/>
      <c r="G29" s="71">
        <f>141.31+150.73</f>
        <v>292.03999999999996</v>
      </c>
      <c r="H29" s="68">
        <f t="shared" si="0"/>
        <v>292.03999999999996</v>
      </c>
    </row>
    <row r="30" spans="1:8" ht="15.75">
      <c r="A30" s="55">
        <v>25</v>
      </c>
      <c r="B30" s="56" t="s">
        <v>29</v>
      </c>
      <c r="C30" s="66">
        <f>326.78+326.78+980.34</f>
        <v>1633.9</v>
      </c>
      <c r="D30" s="71">
        <v>1385.52</v>
      </c>
      <c r="E30" s="71"/>
      <c r="F30" s="71">
        <v>43240.68</v>
      </c>
      <c r="G30" s="71">
        <f>820.7+461.83+481.11</f>
        <v>1763.6399999999999</v>
      </c>
      <c r="H30" s="68">
        <f t="shared" si="0"/>
        <v>48023.74</v>
      </c>
    </row>
    <row r="31" spans="1:8" ht="15.75">
      <c r="A31" s="55">
        <v>26</v>
      </c>
      <c r="B31" s="56" t="s">
        <v>30</v>
      </c>
      <c r="C31" s="66">
        <v>326.78</v>
      </c>
      <c r="D31" s="71">
        <v>1293.16</v>
      </c>
      <c r="E31" s="71"/>
      <c r="F31" s="71"/>
      <c r="G31" s="71">
        <v>1225.77</v>
      </c>
      <c r="H31" s="68">
        <f t="shared" si="0"/>
        <v>2845.71</v>
      </c>
    </row>
    <row r="32" spans="1:8" ht="15.75">
      <c r="A32" s="55">
        <v>27</v>
      </c>
      <c r="B32" s="56" t="s">
        <v>40</v>
      </c>
      <c r="C32" s="66"/>
      <c r="D32" s="71"/>
      <c r="E32" s="71"/>
      <c r="F32" s="71"/>
      <c r="G32" s="71"/>
      <c r="H32" s="68">
        <f t="shared" si="0"/>
        <v>0</v>
      </c>
    </row>
    <row r="33" spans="1:8" ht="15.75">
      <c r="A33" s="55">
        <v>28</v>
      </c>
      <c r="B33" s="56" t="s">
        <v>41</v>
      </c>
      <c r="C33" s="66">
        <v>326.78</v>
      </c>
      <c r="D33" s="71">
        <v>646.58</v>
      </c>
      <c r="E33" s="71"/>
      <c r="F33" s="71"/>
      <c r="G33" s="71">
        <v>301.46</v>
      </c>
      <c r="H33" s="68">
        <f t="shared" si="0"/>
        <v>1274.82</v>
      </c>
    </row>
    <row r="34" spans="1:8" ht="15.75">
      <c r="A34" s="55">
        <v>29</v>
      </c>
      <c r="B34" s="56" t="s">
        <v>42</v>
      </c>
      <c r="C34" s="66">
        <v>653.56</v>
      </c>
      <c r="D34" s="71"/>
      <c r="E34" s="71"/>
      <c r="F34" s="71"/>
      <c r="G34" s="71">
        <v>1112.94</v>
      </c>
      <c r="H34" s="68">
        <f t="shared" si="0"/>
        <v>1766.5</v>
      </c>
    </row>
    <row r="35" spans="1:8" ht="15.75">
      <c r="A35" s="55">
        <v>30</v>
      </c>
      <c r="B35" s="56" t="s">
        <v>44</v>
      </c>
      <c r="C35" s="66">
        <v>326.78</v>
      </c>
      <c r="D35" s="71"/>
      <c r="E35" s="71"/>
      <c r="F35" s="71"/>
      <c r="G35" s="71">
        <v>150.73</v>
      </c>
      <c r="H35" s="68">
        <f t="shared" si="0"/>
        <v>477.51</v>
      </c>
    </row>
    <row r="36" spans="1:8" ht="15.75">
      <c r="A36" s="55">
        <v>31</v>
      </c>
      <c r="B36" s="56" t="s">
        <v>45</v>
      </c>
      <c r="C36" s="66"/>
      <c r="D36" s="71"/>
      <c r="E36" s="71"/>
      <c r="F36" s="71"/>
      <c r="G36" s="71"/>
      <c r="H36" s="68">
        <f t="shared" si="0"/>
        <v>0</v>
      </c>
    </row>
    <row r="37" spans="1:8" ht="15.75">
      <c r="A37" s="55">
        <v>32</v>
      </c>
      <c r="B37" s="56" t="s">
        <v>47</v>
      </c>
      <c r="C37" s="66">
        <v>326.78</v>
      </c>
      <c r="D37" s="71"/>
      <c r="E37" s="71"/>
      <c r="F37" s="71"/>
      <c r="G37" s="71">
        <v>320.74</v>
      </c>
      <c r="H37" s="68">
        <f t="shared" si="0"/>
        <v>647.52</v>
      </c>
    </row>
    <row r="38" spans="1:8" ht="15.75">
      <c r="A38" s="55">
        <v>33</v>
      </c>
      <c r="B38" s="56" t="s">
        <v>60</v>
      </c>
      <c r="C38" s="66">
        <v>653.56</v>
      </c>
      <c r="D38" s="71"/>
      <c r="E38" s="71"/>
      <c r="F38" s="71"/>
      <c r="G38" s="71"/>
      <c r="H38" s="68">
        <f t="shared" si="0"/>
        <v>653.56</v>
      </c>
    </row>
    <row r="39" spans="1:8" ht="15.75">
      <c r="A39" s="55">
        <v>34</v>
      </c>
      <c r="B39" s="56" t="s">
        <v>61</v>
      </c>
      <c r="C39" s="66">
        <v>326.78</v>
      </c>
      <c r="D39" s="71"/>
      <c r="E39" s="71"/>
      <c r="F39" s="71"/>
      <c r="G39" s="71">
        <v>150.73</v>
      </c>
      <c r="H39" s="68">
        <f t="shared" si="0"/>
        <v>477.51</v>
      </c>
    </row>
    <row r="40" spans="1:8" ht="15.75">
      <c r="A40" s="55">
        <v>35</v>
      </c>
      <c r="B40" s="56" t="s">
        <v>71</v>
      </c>
      <c r="C40" s="66">
        <v>653.56</v>
      </c>
      <c r="D40" s="71"/>
      <c r="E40" s="71"/>
      <c r="F40" s="71"/>
      <c r="G40" s="71"/>
      <c r="H40" s="68">
        <f t="shared" si="0"/>
        <v>653.56</v>
      </c>
    </row>
    <row r="41" spans="1:8" ht="15.75">
      <c r="A41" s="57"/>
      <c r="B41" s="57" t="s">
        <v>31</v>
      </c>
      <c r="C41" s="67">
        <f>SUM(C6:C40)</f>
        <v>13071.17</v>
      </c>
      <c r="D41" s="67">
        <f>SUM(D6:D40)</f>
        <v>15540.819999999998</v>
      </c>
      <c r="E41" s="67">
        <f>SUM(E6:E40)</f>
        <v>2789.0899999999997</v>
      </c>
      <c r="F41" s="67">
        <f>SUM(F6:F40)</f>
        <v>43240.68</v>
      </c>
      <c r="G41" s="67">
        <f>SUM(G6:G40)</f>
        <v>21660.489999999998</v>
      </c>
      <c r="H41" s="68">
        <f t="shared" si="0"/>
        <v>96302.25</v>
      </c>
    </row>
  </sheetData>
  <printOptions/>
  <pageMargins left="0.75" right="0.75" top="1" bottom="1" header="0.5" footer="0.5"/>
  <pageSetup horizontalDpi="600" verticalDpi="6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F41"/>
  <sheetViews>
    <sheetView workbookViewId="0" topLeftCell="A4">
      <selection activeCell="C6" sqref="C6:C40"/>
    </sheetView>
  </sheetViews>
  <sheetFormatPr defaultColWidth="9.140625" defaultRowHeight="12.75"/>
  <cols>
    <col min="2" max="2" width="31.28125" style="0" bestFit="1" customWidth="1"/>
    <col min="3" max="3" width="21.7109375" style="0" customWidth="1"/>
    <col min="4" max="4" width="21.57421875" style="0" customWidth="1"/>
  </cols>
  <sheetData>
    <row r="3" spans="1:6" ht="15">
      <c r="A3" s="61" t="s">
        <v>85</v>
      </c>
      <c r="B3" s="61"/>
      <c r="C3" s="61"/>
      <c r="D3" s="61"/>
      <c r="E3" s="61"/>
      <c r="F3" s="61"/>
    </row>
    <row r="4" spans="1:6" ht="14.25">
      <c r="A4" s="81"/>
      <c r="B4" s="81"/>
      <c r="C4" s="81"/>
      <c r="D4" s="40"/>
      <c r="E4" s="36"/>
      <c r="F4" s="36"/>
    </row>
    <row r="5" spans="1:4" ht="31.5">
      <c r="A5" s="50" t="s">
        <v>0</v>
      </c>
      <c r="B5" s="51" t="s">
        <v>1</v>
      </c>
      <c r="C5" s="51" t="s">
        <v>67</v>
      </c>
      <c r="D5" s="51" t="s">
        <v>68</v>
      </c>
    </row>
    <row r="6" spans="1:4" ht="15.75">
      <c r="A6" s="55">
        <v>1</v>
      </c>
      <c r="B6" s="56" t="s">
        <v>6</v>
      </c>
      <c r="C6" s="66"/>
      <c r="D6" s="66"/>
    </row>
    <row r="7" spans="1:4" ht="15.75">
      <c r="A7" s="55">
        <v>2</v>
      </c>
      <c r="B7" s="56" t="s">
        <v>7</v>
      </c>
      <c r="C7" s="66"/>
      <c r="D7" s="66"/>
    </row>
    <row r="8" spans="1:4" ht="15.75">
      <c r="A8" s="55">
        <v>3</v>
      </c>
      <c r="B8" s="56" t="s">
        <v>8</v>
      </c>
      <c r="C8" s="66"/>
      <c r="D8" s="66"/>
    </row>
    <row r="9" spans="1:4" ht="15.75">
      <c r="A9" s="55">
        <v>4</v>
      </c>
      <c r="B9" s="56" t="s">
        <v>9</v>
      </c>
      <c r="C9" s="66"/>
      <c r="D9" s="66"/>
    </row>
    <row r="10" spans="1:4" ht="15.75">
      <c r="A10" s="55">
        <v>5</v>
      </c>
      <c r="B10" s="56" t="s">
        <v>10</v>
      </c>
      <c r="C10" s="66"/>
      <c r="D10" s="66"/>
    </row>
    <row r="11" spans="1:4" ht="15.75">
      <c r="A11" s="55">
        <v>6</v>
      </c>
      <c r="B11" s="56" t="s">
        <v>11</v>
      </c>
      <c r="C11" s="66"/>
      <c r="D11" s="66"/>
    </row>
    <row r="12" spans="1:4" ht="15.75">
      <c r="A12" s="55">
        <v>7</v>
      </c>
      <c r="B12" s="56" t="s">
        <v>59</v>
      </c>
      <c r="C12" s="66"/>
      <c r="D12" s="66"/>
    </row>
    <row r="13" spans="1:4" ht="15.75">
      <c r="A13" s="55">
        <v>8</v>
      </c>
      <c r="B13" s="56" t="s">
        <v>12</v>
      </c>
      <c r="C13" s="66"/>
      <c r="D13" s="66"/>
    </row>
    <row r="14" spans="1:4" ht="15.75">
      <c r="A14" s="55">
        <v>9</v>
      </c>
      <c r="B14" s="56" t="s">
        <v>13</v>
      </c>
      <c r="C14" s="66">
        <v>2896.36</v>
      </c>
      <c r="D14" s="66"/>
    </row>
    <row r="15" spans="1:4" ht="15.75">
      <c r="A15" s="55">
        <v>10</v>
      </c>
      <c r="B15" s="56" t="s">
        <v>14</v>
      </c>
      <c r="C15" s="66"/>
      <c r="D15" s="66"/>
    </row>
    <row r="16" spans="1:4" ht="15.75">
      <c r="A16" s="55">
        <v>11</v>
      </c>
      <c r="B16" s="56" t="s">
        <v>15</v>
      </c>
      <c r="C16" s="66"/>
      <c r="D16" s="66"/>
    </row>
    <row r="17" spans="1:4" ht="15.75">
      <c r="A17" s="55">
        <v>12</v>
      </c>
      <c r="B17" s="56" t="s">
        <v>16</v>
      </c>
      <c r="C17" s="66"/>
      <c r="D17" s="66"/>
    </row>
    <row r="18" spans="1:4" ht="15.75">
      <c r="A18" s="55">
        <v>13</v>
      </c>
      <c r="B18" s="56" t="s">
        <v>17</v>
      </c>
      <c r="C18" s="66">
        <v>7265.12</v>
      </c>
      <c r="D18" s="66">
        <v>2781.64</v>
      </c>
    </row>
    <row r="19" spans="1:4" ht="15.75">
      <c r="A19" s="55">
        <v>14</v>
      </c>
      <c r="B19" s="56" t="s">
        <v>18</v>
      </c>
      <c r="C19" s="66"/>
      <c r="D19" s="66"/>
    </row>
    <row r="20" spans="1:4" ht="15.75">
      <c r="A20" s="55">
        <v>15</v>
      </c>
      <c r="B20" s="56" t="s">
        <v>19</v>
      </c>
      <c r="C20" s="66"/>
      <c r="D20" s="66"/>
    </row>
    <row r="21" spans="1:4" ht="15.75">
      <c r="A21" s="55">
        <v>16</v>
      </c>
      <c r="B21" s="56" t="s">
        <v>20</v>
      </c>
      <c r="C21" s="66"/>
      <c r="D21" s="66"/>
    </row>
    <row r="22" spans="1:4" ht="15.75">
      <c r="A22" s="55">
        <v>17</v>
      </c>
      <c r="B22" s="56" t="s">
        <v>21</v>
      </c>
      <c r="C22" s="66"/>
      <c r="D22" s="66"/>
    </row>
    <row r="23" spans="1:4" ht="15.75">
      <c r="A23" s="55">
        <v>18</v>
      </c>
      <c r="B23" s="56" t="s">
        <v>22</v>
      </c>
      <c r="C23" s="66"/>
      <c r="D23" s="66">
        <v>9275.64</v>
      </c>
    </row>
    <row r="24" spans="1:4" ht="15.75">
      <c r="A24" s="55">
        <v>19</v>
      </c>
      <c r="B24" s="56" t="s">
        <v>23</v>
      </c>
      <c r="C24" s="66"/>
      <c r="D24" s="66"/>
    </row>
    <row r="25" spans="1:4" ht="15.75">
      <c r="A25" s="55">
        <v>20</v>
      </c>
      <c r="B25" s="56" t="s">
        <v>24</v>
      </c>
      <c r="C25" s="66"/>
      <c r="D25" s="66"/>
    </row>
    <row r="26" spans="1:4" ht="15.75">
      <c r="A26" s="55">
        <v>21</v>
      </c>
      <c r="B26" s="56" t="s">
        <v>25</v>
      </c>
      <c r="C26" s="66">
        <v>333.96</v>
      </c>
      <c r="D26" s="66"/>
    </row>
    <row r="27" spans="1:4" ht="15.75">
      <c r="A27" s="55">
        <v>22</v>
      </c>
      <c r="B27" s="56" t="s">
        <v>26</v>
      </c>
      <c r="C27" s="66"/>
      <c r="D27" s="66"/>
    </row>
    <row r="28" spans="1:4" ht="15.75">
      <c r="A28" s="55">
        <v>23</v>
      </c>
      <c r="B28" s="56" t="s">
        <v>27</v>
      </c>
      <c r="C28" s="66"/>
      <c r="D28" s="66"/>
    </row>
    <row r="29" spans="1:4" ht="15.75">
      <c r="A29" s="55">
        <v>24</v>
      </c>
      <c r="B29" s="56" t="s">
        <v>28</v>
      </c>
      <c r="C29" s="66"/>
      <c r="D29" s="66"/>
    </row>
    <row r="30" spans="1:4" ht="15.75">
      <c r="A30" s="55">
        <v>25</v>
      </c>
      <c r="B30" s="56" t="s">
        <v>29</v>
      </c>
      <c r="C30" s="66"/>
      <c r="D30" s="66"/>
    </row>
    <row r="31" spans="1:4" ht="15.75">
      <c r="A31" s="55">
        <v>26</v>
      </c>
      <c r="B31" s="56" t="s">
        <v>30</v>
      </c>
      <c r="C31" s="66"/>
      <c r="D31" s="66"/>
    </row>
    <row r="32" spans="1:4" ht="15.75">
      <c r="A32" s="55">
        <v>27</v>
      </c>
      <c r="B32" s="56" t="s">
        <v>40</v>
      </c>
      <c r="C32" s="66"/>
      <c r="D32" s="66"/>
    </row>
    <row r="33" spans="1:4" ht="15.75">
      <c r="A33" s="55">
        <v>28</v>
      </c>
      <c r="B33" s="56" t="s">
        <v>41</v>
      </c>
      <c r="C33" s="66"/>
      <c r="D33" s="66">
        <v>2736.1</v>
      </c>
    </row>
    <row r="34" spans="1:4" ht="15.75">
      <c r="A34" s="55">
        <v>29</v>
      </c>
      <c r="B34" s="56" t="s">
        <v>42</v>
      </c>
      <c r="C34" s="66"/>
      <c r="D34" s="66"/>
    </row>
    <row r="35" spans="1:4" ht="15.75">
      <c r="A35" s="55">
        <v>30</v>
      </c>
      <c r="B35" s="56" t="s">
        <v>44</v>
      </c>
      <c r="C35" s="66"/>
      <c r="D35" s="66"/>
    </row>
    <row r="36" spans="1:4" ht="15.75">
      <c r="A36" s="55">
        <v>31</v>
      </c>
      <c r="B36" s="56" t="s">
        <v>45</v>
      </c>
      <c r="C36" s="66"/>
      <c r="D36" s="66"/>
    </row>
    <row r="37" spans="1:4" ht="15.75">
      <c r="A37" s="55">
        <v>32</v>
      </c>
      <c r="B37" s="56" t="s">
        <v>47</v>
      </c>
      <c r="C37" s="66"/>
      <c r="D37" s="66"/>
    </row>
    <row r="38" spans="1:4" ht="15.75">
      <c r="A38" s="55">
        <v>33</v>
      </c>
      <c r="B38" s="56" t="s">
        <v>60</v>
      </c>
      <c r="C38" s="66"/>
      <c r="D38" s="66"/>
    </row>
    <row r="39" spans="1:4" ht="15.75">
      <c r="A39" s="55">
        <v>34</v>
      </c>
      <c r="B39" s="56" t="s">
        <v>61</v>
      </c>
      <c r="C39" s="66"/>
      <c r="D39" s="66"/>
    </row>
    <row r="40" spans="1:4" ht="15.75">
      <c r="A40" s="55">
        <v>35</v>
      </c>
      <c r="B40" s="56" t="s">
        <v>71</v>
      </c>
      <c r="C40" s="66"/>
      <c r="D40" s="66"/>
    </row>
    <row r="41" spans="1:4" ht="15.75">
      <c r="A41" s="57"/>
      <c r="B41" s="57" t="s">
        <v>31</v>
      </c>
      <c r="C41" s="67">
        <f>SUM(C6:C40)</f>
        <v>10495.439999999999</v>
      </c>
      <c r="D41" s="67">
        <f>SUM(D6:D40)</f>
        <v>14793.38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52"/>
  <sheetViews>
    <sheetView view="pageBreakPreview" zoomScale="60" workbookViewId="0" topLeftCell="A1">
      <selection activeCell="G14" sqref="G14"/>
    </sheetView>
  </sheetViews>
  <sheetFormatPr defaultColWidth="9.140625" defaultRowHeight="12.75"/>
  <cols>
    <col min="1" max="1" width="6.8515625" style="0" customWidth="1"/>
    <col min="2" max="2" width="31.00390625" style="0" customWidth="1"/>
    <col min="3" max="3" width="18.421875" style="0" customWidth="1"/>
    <col min="4" max="4" width="18.28125" style="0" customWidth="1"/>
    <col min="5" max="5" width="16.28125" style="0" customWidth="1"/>
    <col min="6" max="6" width="9.8515625" style="0" customWidth="1"/>
    <col min="7" max="7" width="16.28125" style="0" customWidth="1"/>
  </cols>
  <sheetData>
    <row r="3" spans="1:7" ht="15" customHeight="1">
      <c r="A3" s="75" t="s">
        <v>90</v>
      </c>
      <c r="B3" s="75"/>
      <c r="C3" s="75"/>
      <c r="D3" s="75"/>
      <c r="E3" s="75"/>
      <c r="F3" s="75"/>
      <c r="G3" s="76"/>
    </row>
    <row r="4" spans="1:6" ht="15">
      <c r="A4" s="34"/>
      <c r="B4" s="35"/>
      <c r="C4" s="35"/>
      <c r="D4" s="34"/>
      <c r="E4" s="34"/>
      <c r="F4" s="34"/>
    </row>
    <row r="5" spans="1:6" ht="15" thickBot="1">
      <c r="A5" s="36"/>
      <c r="B5" s="36"/>
      <c r="C5" s="37"/>
      <c r="D5" s="36"/>
      <c r="E5" s="38"/>
      <c r="F5" s="36"/>
    </row>
    <row r="6" spans="1:6" ht="46.5" customHeight="1" thickBot="1">
      <c r="A6" s="50" t="s">
        <v>0</v>
      </c>
      <c r="B6" s="51" t="s">
        <v>1</v>
      </c>
      <c r="C6" s="46" t="s">
        <v>32</v>
      </c>
      <c r="D6" s="46" t="s">
        <v>33</v>
      </c>
      <c r="E6" s="47" t="s">
        <v>34</v>
      </c>
      <c r="F6" s="36"/>
    </row>
    <row r="7" spans="1:9" ht="15.75">
      <c r="A7" s="55">
        <v>1</v>
      </c>
      <c r="B7" s="56" t="s">
        <v>6</v>
      </c>
      <c r="C7" s="44">
        <v>6088.95</v>
      </c>
      <c r="D7" s="44">
        <v>4872.08</v>
      </c>
      <c r="E7" s="45">
        <f>C7+D7</f>
        <v>10961.029999999999</v>
      </c>
      <c r="F7" s="36"/>
      <c r="H7" s="3"/>
      <c r="I7" s="3"/>
    </row>
    <row r="8" spans="1:8" ht="15.75">
      <c r="A8" s="55">
        <v>2</v>
      </c>
      <c r="B8" s="56" t="s">
        <v>7</v>
      </c>
      <c r="C8" s="6">
        <v>2413.75</v>
      </c>
      <c r="D8" s="6">
        <v>1931.07</v>
      </c>
      <c r="E8" s="45">
        <f aca="true" t="shared" si="0" ref="E8:E42">C8+D8</f>
        <v>4344.82</v>
      </c>
      <c r="F8" s="36"/>
      <c r="H8" s="3"/>
    </row>
    <row r="9" spans="1:8" ht="15.75">
      <c r="A9" s="55">
        <v>3</v>
      </c>
      <c r="B9" s="56" t="s">
        <v>8</v>
      </c>
      <c r="C9" s="1">
        <v>3014.79</v>
      </c>
      <c r="D9" s="6">
        <v>2411.9</v>
      </c>
      <c r="E9" s="45">
        <f t="shared" si="0"/>
        <v>5426.6900000000005</v>
      </c>
      <c r="F9" s="36"/>
      <c r="H9" s="3"/>
    </row>
    <row r="10" spans="1:8" ht="15.75">
      <c r="A10" s="55">
        <v>4</v>
      </c>
      <c r="B10" s="56" t="s">
        <v>9</v>
      </c>
      <c r="C10" s="6">
        <v>5772.49</v>
      </c>
      <c r="D10" s="6">
        <v>4617.8</v>
      </c>
      <c r="E10" s="45">
        <f t="shared" si="0"/>
        <v>10390.29</v>
      </c>
      <c r="F10" s="36"/>
      <c r="H10" s="3"/>
    </row>
    <row r="11" spans="1:8" ht="15.75">
      <c r="A11" s="55">
        <v>5</v>
      </c>
      <c r="B11" s="56" t="s">
        <v>10</v>
      </c>
      <c r="C11" s="6">
        <v>2768.86</v>
      </c>
      <c r="D11" s="6">
        <v>2215.17</v>
      </c>
      <c r="E11" s="45">
        <f t="shared" si="0"/>
        <v>4984.030000000001</v>
      </c>
      <c r="F11" s="36"/>
      <c r="H11" s="3"/>
    </row>
    <row r="12" spans="1:8" ht="15.75">
      <c r="A12" s="55">
        <v>6</v>
      </c>
      <c r="B12" s="56" t="s">
        <v>11</v>
      </c>
      <c r="C12" s="6">
        <v>5896.38</v>
      </c>
      <c r="D12" s="6">
        <v>4717.16</v>
      </c>
      <c r="E12" s="45">
        <f t="shared" si="0"/>
        <v>10613.54</v>
      </c>
      <c r="F12" s="36"/>
      <c r="H12" s="3"/>
    </row>
    <row r="13" spans="1:8" ht="15.75">
      <c r="A13" s="55">
        <v>7</v>
      </c>
      <c r="B13" s="56" t="s">
        <v>59</v>
      </c>
      <c r="C13" s="6">
        <v>7755.52</v>
      </c>
      <c r="D13" s="6">
        <v>6204.92</v>
      </c>
      <c r="E13" s="45">
        <f t="shared" si="0"/>
        <v>13960.44</v>
      </c>
      <c r="F13" s="36"/>
      <c r="H13" s="3"/>
    </row>
    <row r="14" spans="1:8" ht="15.75">
      <c r="A14" s="55">
        <v>8</v>
      </c>
      <c r="B14" s="56" t="s">
        <v>12</v>
      </c>
      <c r="C14" s="6">
        <v>557.87</v>
      </c>
      <c r="D14" s="6">
        <v>446.31</v>
      </c>
      <c r="E14" s="45">
        <f t="shared" si="0"/>
        <v>1004.1800000000001</v>
      </c>
      <c r="F14" s="36"/>
      <c r="H14" s="3"/>
    </row>
    <row r="15" spans="1:8" ht="15.75">
      <c r="A15" s="55">
        <v>9</v>
      </c>
      <c r="B15" s="56" t="s">
        <v>13</v>
      </c>
      <c r="C15" s="6">
        <v>2824.31</v>
      </c>
      <c r="D15" s="6">
        <v>2259.55</v>
      </c>
      <c r="E15" s="45">
        <f t="shared" si="0"/>
        <v>5083.860000000001</v>
      </c>
      <c r="F15" s="36"/>
      <c r="H15" s="3"/>
    </row>
    <row r="16" spans="1:8" ht="15.75">
      <c r="A16" s="55">
        <v>10</v>
      </c>
      <c r="B16" s="56" t="s">
        <v>14</v>
      </c>
      <c r="C16" s="6">
        <v>10188.88</v>
      </c>
      <c r="D16" s="6">
        <v>8151.81</v>
      </c>
      <c r="E16" s="45">
        <f t="shared" si="0"/>
        <v>18340.69</v>
      </c>
      <c r="F16" s="36"/>
      <c r="H16" s="3"/>
    </row>
    <row r="17" spans="1:8" ht="15.75">
      <c r="A17" s="55">
        <v>11</v>
      </c>
      <c r="B17" s="56" t="s">
        <v>15</v>
      </c>
      <c r="C17" s="6">
        <v>3993.85</v>
      </c>
      <c r="D17" s="6">
        <v>3195.08</v>
      </c>
      <c r="E17" s="45">
        <f t="shared" si="0"/>
        <v>7188.93</v>
      </c>
      <c r="F17" s="36"/>
      <c r="H17" s="3"/>
    </row>
    <row r="18" spans="1:8" ht="15.75">
      <c r="A18" s="55">
        <v>12</v>
      </c>
      <c r="B18" s="56" t="s">
        <v>16</v>
      </c>
      <c r="C18" s="6">
        <v>583.69</v>
      </c>
      <c r="D18" s="6">
        <v>466.97</v>
      </c>
      <c r="E18" s="45">
        <f t="shared" si="0"/>
        <v>1050.66</v>
      </c>
      <c r="F18" s="36"/>
      <c r="H18" s="3"/>
    </row>
    <row r="19" spans="1:8" ht="15.75">
      <c r="A19" s="55">
        <v>13</v>
      </c>
      <c r="B19" s="56" t="s">
        <v>17</v>
      </c>
      <c r="C19" s="6">
        <v>3742.77</v>
      </c>
      <c r="D19" s="6">
        <v>2994.63</v>
      </c>
      <c r="E19" s="45">
        <f t="shared" si="0"/>
        <v>6737.4</v>
      </c>
      <c r="F19" s="36"/>
      <c r="H19" s="3"/>
    </row>
    <row r="20" spans="1:8" ht="15.75">
      <c r="A20" s="55">
        <v>14</v>
      </c>
      <c r="B20" s="56" t="s">
        <v>18</v>
      </c>
      <c r="C20" s="6">
        <v>4100.53</v>
      </c>
      <c r="D20" s="6">
        <v>3280.25</v>
      </c>
      <c r="E20" s="45">
        <f t="shared" si="0"/>
        <v>7380.78</v>
      </c>
      <c r="F20" s="36"/>
      <c r="H20" s="3"/>
    </row>
    <row r="21" spans="1:8" ht="15.75">
      <c r="A21" s="55">
        <v>15</v>
      </c>
      <c r="B21" s="56" t="s">
        <v>19</v>
      </c>
      <c r="C21" s="6">
        <v>0</v>
      </c>
      <c r="D21" s="6"/>
      <c r="E21" s="45">
        <f t="shared" si="0"/>
        <v>0</v>
      </c>
      <c r="F21" s="36"/>
      <c r="H21" s="3"/>
    </row>
    <row r="22" spans="1:8" ht="15.75">
      <c r="A22" s="55">
        <v>16</v>
      </c>
      <c r="B22" s="56" t="s">
        <v>20</v>
      </c>
      <c r="C22" s="6">
        <v>1355.8</v>
      </c>
      <c r="D22" s="6">
        <v>1084.7</v>
      </c>
      <c r="E22" s="45">
        <f t="shared" si="0"/>
        <v>2440.5</v>
      </c>
      <c r="F22" s="36"/>
      <c r="H22" s="3"/>
    </row>
    <row r="23" spans="1:8" ht="15.75">
      <c r="A23" s="55">
        <v>17</v>
      </c>
      <c r="B23" s="56" t="s">
        <v>21</v>
      </c>
      <c r="C23" s="6">
        <v>2865.64</v>
      </c>
      <c r="D23" s="6">
        <v>2292.56</v>
      </c>
      <c r="E23" s="45">
        <f t="shared" si="0"/>
        <v>5158.2</v>
      </c>
      <c r="F23" s="36"/>
      <c r="H23" s="3"/>
    </row>
    <row r="24" spans="1:8" ht="15.75">
      <c r="A24" s="55">
        <v>18</v>
      </c>
      <c r="B24" s="56" t="s">
        <v>22</v>
      </c>
      <c r="C24" s="6">
        <v>5943.19</v>
      </c>
      <c r="D24" s="6">
        <v>4755.34</v>
      </c>
      <c r="E24" s="45">
        <f t="shared" si="0"/>
        <v>10698.529999999999</v>
      </c>
      <c r="F24" s="36"/>
      <c r="H24" s="3"/>
    </row>
    <row r="25" spans="1:8" ht="15.75">
      <c r="A25" s="55">
        <v>19</v>
      </c>
      <c r="B25" s="56" t="s">
        <v>23</v>
      </c>
      <c r="C25" s="6">
        <v>1039.17</v>
      </c>
      <c r="D25" s="6">
        <v>831.38</v>
      </c>
      <c r="E25" s="45">
        <f t="shared" si="0"/>
        <v>1870.5500000000002</v>
      </c>
      <c r="F25" s="36"/>
      <c r="H25" s="3"/>
    </row>
    <row r="26" spans="1:8" ht="15.75">
      <c r="A26" s="55">
        <v>20</v>
      </c>
      <c r="B26" s="56" t="s">
        <v>24</v>
      </c>
      <c r="C26" s="6">
        <v>2613.02</v>
      </c>
      <c r="D26" s="6">
        <v>2090.47</v>
      </c>
      <c r="E26" s="45">
        <f t="shared" si="0"/>
        <v>4703.49</v>
      </c>
      <c r="F26" s="36"/>
      <c r="H26" s="3"/>
    </row>
    <row r="27" spans="1:8" ht="15.75">
      <c r="A27" s="55">
        <v>21</v>
      </c>
      <c r="B27" s="56" t="s">
        <v>25</v>
      </c>
      <c r="C27" s="6">
        <v>5709.13</v>
      </c>
      <c r="D27" s="6">
        <v>4568.47</v>
      </c>
      <c r="E27" s="45">
        <f t="shared" si="0"/>
        <v>10277.6</v>
      </c>
      <c r="F27" s="36"/>
      <c r="H27" s="3"/>
    </row>
    <row r="28" spans="1:8" ht="15.75">
      <c r="A28" s="55">
        <v>22</v>
      </c>
      <c r="B28" s="56" t="s">
        <v>26</v>
      </c>
      <c r="C28" s="6">
        <v>48.32</v>
      </c>
      <c r="D28" s="6">
        <v>38.65</v>
      </c>
      <c r="E28" s="45">
        <f t="shared" si="0"/>
        <v>86.97</v>
      </c>
      <c r="F28" s="36"/>
      <c r="H28" s="3"/>
    </row>
    <row r="29" spans="1:8" ht="15.75">
      <c r="A29" s="55">
        <v>23</v>
      </c>
      <c r="B29" s="56" t="s">
        <v>27</v>
      </c>
      <c r="C29" s="6">
        <v>1183.65</v>
      </c>
      <c r="D29" s="6">
        <v>947.02</v>
      </c>
      <c r="E29" s="45">
        <f t="shared" si="0"/>
        <v>2130.67</v>
      </c>
      <c r="F29" s="36"/>
      <c r="H29" s="3"/>
    </row>
    <row r="30" spans="1:8" ht="15.75">
      <c r="A30" s="55">
        <v>24</v>
      </c>
      <c r="B30" s="56" t="s">
        <v>28</v>
      </c>
      <c r="C30" s="6">
        <v>2741.77</v>
      </c>
      <c r="D30" s="6">
        <v>2193.27</v>
      </c>
      <c r="E30" s="45">
        <f t="shared" si="0"/>
        <v>4935.04</v>
      </c>
      <c r="F30" s="36"/>
      <c r="H30" s="3"/>
    </row>
    <row r="31" spans="1:8" ht="15.75">
      <c r="A31" s="55">
        <v>25</v>
      </c>
      <c r="B31" s="56" t="s">
        <v>29</v>
      </c>
      <c r="C31" s="6">
        <v>6858.04</v>
      </c>
      <c r="D31" s="6">
        <v>5486.54</v>
      </c>
      <c r="E31" s="45">
        <f t="shared" si="0"/>
        <v>12344.58</v>
      </c>
      <c r="F31" s="36"/>
      <c r="H31" s="3"/>
    </row>
    <row r="32" spans="1:8" ht="15.75">
      <c r="A32" s="55">
        <v>26</v>
      </c>
      <c r="B32" s="56" t="s">
        <v>30</v>
      </c>
      <c r="C32" s="6">
        <v>8440.22</v>
      </c>
      <c r="D32" s="6">
        <v>6752.45</v>
      </c>
      <c r="E32" s="45">
        <f t="shared" si="0"/>
        <v>15192.669999999998</v>
      </c>
      <c r="F32" s="36"/>
      <c r="H32" s="3"/>
    </row>
    <row r="33" spans="1:8" ht="15.75">
      <c r="A33" s="55">
        <v>27</v>
      </c>
      <c r="B33" s="56" t="s">
        <v>40</v>
      </c>
      <c r="C33" s="6">
        <v>896.24</v>
      </c>
      <c r="D33" s="6">
        <v>717.02</v>
      </c>
      <c r="E33" s="45">
        <f t="shared" si="0"/>
        <v>1613.26</v>
      </c>
      <c r="F33" s="36"/>
      <c r="H33" s="3"/>
    </row>
    <row r="34" spans="1:8" ht="15.75">
      <c r="A34" s="55">
        <v>28</v>
      </c>
      <c r="B34" s="56" t="s">
        <v>41</v>
      </c>
      <c r="C34" s="6">
        <v>4279.31</v>
      </c>
      <c r="D34" s="6">
        <v>3423.78</v>
      </c>
      <c r="E34" s="45">
        <f t="shared" si="0"/>
        <v>7703.09</v>
      </c>
      <c r="F34" s="36"/>
      <c r="H34" s="3"/>
    </row>
    <row r="35" spans="1:8" ht="15.75">
      <c r="A35" s="55">
        <v>29</v>
      </c>
      <c r="B35" s="56" t="s">
        <v>42</v>
      </c>
      <c r="C35" s="6">
        <v>4443.7</v>
      </c>
      <c r="D35" s="6">
        <v>3554.75</v>
      </c>
      <c r="E35" s="45">
        <f t="shared" si="0"/>
        <v>7998.45</v>
      </c>
      <c r="F35" s="36"/>
      <c r="H35" s="3"/>
    </row>
    <row r="36" spans="1:8" ht="15.75">
      <c r="A36" s="55">
        <v>30</v>
      </c>
      <c r="B36" s="56" t="s">
        <v>44</v>
      </c>
      <c r="C36" s="6">
        <v>2165.48</v>
      </c>
      <c r="D36" s="6">
        <v>1732.61</v>
      </c>
      <c r="E36" s="45">
        <f t="shared" si="0"/>
        <v>3898.09</v>
      </c>
      <c r="F36" s="36"/>
      <c r="H36" s="3"/>
    </row>
    <row r="37" spans="1:8" ht="15.75">
      <c r="A37" s="55">
        <v>31</v>
      </c>
      <c r="B37" s="56" t="s">
        <v>45</v>
      </c>
      <c r="C37" s="6">
        <v>0</v>
      </c>
      <c r="D37" s="6"/>
      <c r="E37" s="45">
        <f t="shared" si="0"/>
        <v>0</v>
      </c>
      <c r="F37" s="36"/>
      <c r="H37" s="3"/>
    </row>
    <row r="38" spans="1:8" ht="15.75">
      <c r="A38" s="55">
        <v>32</v>
      </c>
      <c r="B38" s="56" t="s">
        <v>47</v>
      </c>
      <c r="C38" s="6">
        <v>1531.89</v>
      </c>
      <c r="D38" s="6">
        <v>1225.57</v>
      </c>
      <c r="E38" s="45">
        <f t="shared" si="0"/>
        <v>2757.46</v>
      </c>
      <c r="F38" s="36"/>
      <c r="H38" s="3"/>
    </row>
    <row r="39" spans="1:8" ht="15.75">
      <c r="A39" s="55">
        <v>33</v>
      </c>
      <c r="B39" s="56" t="s">
        <v>60</v>
      </c>
      <c r="C39" s="6">
        <v>223.99</v>
      </c>
      <c r="D39" s="6">
        <v>179.19</v>
      </c>
      <c r="E39" s="45">
        <f t="shared" si="0"/>
        <v>403.18</v>
      </c>
      <c r="F39" s="36"/>
      <c r="H39" s="3"/>
    </row>
    <row r="40" spans="1:8" ht="15.75">
      <c r="A40" s="55">
        <v>34</v>
      </c>
      <c r="B40" s="56" t="s">
        <v>61</v>
      </c>
      <c r="C40" s="6">
        <v>1132.52</v>
      </c>
      <c r="D40" s="6">
        <v>906.04</v>
      </c>
      <c r="E40" s="45">
        <f t="shared" si="0"/>
        <v>2038.56</v>
      </c>
      <c r="F40" s="36"/>
      <c r="H40" s="3"/>
    </row>
    <row r="41" spans="1:8" ht="15.75">
      <c r="A41" s="55">
        <v>35</v>
      </c>
      <c r="B41" s="56" t="s">
        <v>71</v>
      </c>
      <c r="C41" s="6">
        <v>37.35</v>
      </c>
      <c r="D41" s="6">
        <v>29.89</v>
      </c>
      <c r="E41" s="45">
        <f t="shared" si="0"/>
        <v>67.24000000000001</v>
      </c>
      <c r="F41" s="36"/>
      <c r="H41" s="3"/>
    </row>
    <row r="42" spans="1:8" ht="15.75">
      <c r="A42" s="57"/>
      <c r="B42" s="57" t="s">
        <v>31</v>
      </c>
      <c r="C42" s="68">
        <f>SUM(C7:C41)</f>
        <v>113211.07000000002</v>
      </c>
      <c r="D42" s="68">
        <f>SUM(D7:D41)</f>
        <v>90574.39999999998</v>
      </c>
      <c r="E42" s="45">
        <f t="shared" si="0"/>
        <v>203785.47</v>
      </c>
      <c r="F42" s="36"/>
      <c r="H42" s="3"/>
    </row>
    <row r="44" ht="12.75">
      <c r="D44" s="3"/>
    </row>
    <row r="45" spans="3:5" ht="12.75">
      <c r="C45" s="3"/>
      <c r="E45" s="3"/>
    </row>
    <row r="46" spans="4:5" ht="12.75">
      <c r="D46" s="3"/>
      <c r="E46" s="3"/>
    </row>
    <row r="52" ht="12.75">
      <c r="C52" s="3"/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6"/>
  <sheetViews>
    <sheetView view="pageBreakPreview" zoomScale="60" workbookViewId="0" topLeftCell="A1">
      <selection activeCell="A2" sqref="A2:J2"/>
    </sheetView>
  </sheetViews>
  <sheetFormatPr defaultColWidth="9.140625" defaultRowHeight="12.75"/>
  <cols>
    <col min="1" max="1" width="31.28125" style="0" bestFit="1" customWidth="1"/>
    <col min="2" max="2" width="13.7109375" style="0" bestFit="1" customWidth="1"/>
    <col min="3" max="3" width="10.140625" style="0" bestFit="1" customWidth="1"/>
    <col min="4" max="4" width="12.28125" style="0" customWidth="1"/>
    <col min="6" max="6" width="12.7109375" style="0" customWidth="1"/>
    <col min="10" max="10" width="13.7109375" style="0" customWidth="1"/>
  </cols>
  <sheetData>
    <row r="2" spans="1:10" ht="33.75" customHeight="1">
      <c r="A2" s="77" t="s">
        <v>91</v>
      </c>
      <c r="B2" s="78"/>
      <c r="C2" s="78"/>
      <c r="D2" s="78"/>
      <c r="E2" s="78"/>
      <c r="F2" s="78"/>
      <c r="G2" s="78"/>
      <c r="H2" s="78"/>
      <c r="I2" s="78"/>
      <c r="J2" s="78"/>
    </row>
    <row r="3" spans="1:5" ht="15">
      <c r="A3" s="35"/>
      <c r="B3" s="35"/>
      <c r="C3" s="34"/>
      <c r="D3" s="34"/>
      <c r="E3" s="34"/>
    </row>
    <row r="4" spans="1:5" ht="15" thickBot="1">
      <c r="A4" s="36"/>
      <c r="B4" s="37"/>
      <c r="C4" s="36"/>
      <c r="D4" s="38"/>
      <c r="E4" s="36"/>
    </row>
    <row r="5" spans="1:5" ht="60.75" thickBot="1">
      <c r="A5" s="51" t="s">
        <v>1</v>
      </c>
      <c r="B5" s="46" t="s">
        <v>32</v>
      </c>
      <c r="C5" s="46" t="s">
        <v>33</v>
      </c>
      <c r="D5" s="47" t="s">
        <v>78</v>
      </c>
      <c r="E5" s="36"/>
    </row>
    <row r="6" spans="1:5" ht="15.75">
      <c r="A6" s="56" t="s">
        <v>6</v>
      </c>
      <c r="B6" s="44">
        <v>171.82</v>
      </c>
      <c r="C6" s="44">
        <v>137.46</v>
      </c>
      <c r="D6" s="45">
        <f>B6+C6</f>
        <v>309.28</v>
      </c>
      <c r="E6" s="36"/>
    </row>
    <row r="7" spans="1:5" ht="15.75">
      <c r="A7" s="56" t="s">
        <v>7</v>
      </c>
      <c r="B7" s="6"/>
      <c r="C7" s="6"/>
      <c r="D7" s="45">
        <f aca="true" t="shared" si="0" ref="D7:D41">B7+C7</f>
        <v>0</v>
      </c>
      <c r="E7" s="36"/>
    </row>
    <row r="8" spans="1:5" ht="15.75">
      <c r="A8" s="56" t="s">
        <v>8</v>
      </c>
      <c r="B8" s="1"/>
      <c r="C8" s="6"/>
      <c r="D8" s="45">
        <f t="shared" si="0"/>
        <v>0</v>
      </c>
      <c r="E8" s="36"/>
    </row>
    <row r="9" spans="1:5" ht="15.75">
      <c r="A9" s="56" t="s">
        <v>9</v>
      </c>
      <c r="B9" s="6"/>
      <c r="C9" s="6"/>
      <c r="D9" s="45">
        <f t="shared" si="0"/>
        <v>0</v>
      </c>
      <c r="E9" s="36"/>
    </row>
    <row r="10" spans="1:5" ht="15.75">
      <c r="A10" s="56" t="s">
        <v>10</v>
      </c>
      <c r="B10" s="6"/>
      <c r="C10" s="6"/>
      <c r="D10" s="45">
        <f t="shared" si="0"/>
        <v>0</v>
      </c>
      <c r="E10" s="36"/>
    </row>
    <row r="11" spans="1:5" ht="15.75">
      <c r="A11" s="56" t="s">
        <v>11</v>
      </c>
      <c r="B11" s="6">
        <v>171.82</v>
      </c>
      <c r="C11" s="6">
        <v>137.46</v>
      </c>
      <c r="D11" s="45">
        <f t="shared" si="0"/>
        <v>309.28</v>
      </c>
      <c r="E11" s="36"/>
    </row>
    <row r="12" spans="1:5" ht="15.75">
      <c r="A12" s="56" t="s">
        <v>59</v>
      </c>
      <c r="B12" s="6">
        <v>150.72</v>
      </c>
      <c r="C12" s="6">
        <v>120.59</v>
      </c>
      <c r="D12" s="45">
        <f t="shared" si="0"/>
        <v>271.31</v>
      </c>
      <c r="E12" s="36"/>
    </row>
    <row r="13" spans="1:5" ht="15.75">
      <c r="A13" s="56" t="s">
        <v>12</v>
      </c>
      <c r="B13" s="6"/>
      <c r="C13" s="6"/>
      <c r="D13" s="45">
        <f t="shared" si="0"/>
        <v>0</v>
      </c>
      <c r="E13" s="36"/>
    </row>
    <row r="14" spans="1:5" ht="15.75">
      <c r="A14" s="56" t="s">
        <v>13</v>
      </c>
      <c r="B14" s="6"/>
      <c r="C14" s="6"/>
      <c r="D14" s="45">
        <f t="shared" si="0"/>
        <v>0</v>
      </c>
      <c r="E14" s="36"/>
    </row>
    <row r="15" spans="1:5" ht="15.75">
      <c r="A15" s="56" t="s">
        <v>14</v>
      </c>
      <c r="B15" s="6">
        <v>141.31</v>
      </c>
      <c r="C15" s="6">
        <v>113.04</v>
      </c>
      <c r="D15" s="45">
        <f t="shared" si="0"/>
        <v>254.35000000000002</v>
      </c>
      <c r="E15" s="36"/>
    </row>
    <row r="16" spans="1:5" ht="15.75">
      <c r="A16" s="56" t="s">
        <v>15</v>
      </c>
      <c r="B16" s="6"/>
      <c r="C16" s="6"/>
      <c r="D16" s="45">
        <f t="shared" si="0"/>
        <v>0</v>
      </c>
      <c r="E16" s="36"/>
    </row>
    <row r="17" spans="1:5" ht="15.75">
      <c r="A17" s="56" t="s">
        <v>16</v>
      </c>
      <c r="B17" s="6"/>
      <c r="C17" s="6"/>
      <c r="D17" s="45">
        <f t="shared" si="0"/>
        <v>0</v>
      </c>
      <c r="E17" s="36"/>
    </row>
    <row r="18" spans="1:5" ht="15.75">
      <c r="A18" s="56" t="s">
        <v>17</v>
      </c>
      <c r="B18" s="6"/>
      <c r="C18" s="6"/>
      <c r="D18" s="45">
        <f t="shared" si="0"/>
        <v>0</v>
      </c>
      <c r="E18" s="36"/>
    </row>
    <row r="19" spans="1:5" ht="15.75">
      <c r="A19" s="56" t="s">
        <v>18</v>
      </c>
      <c r="B19" s="6"/>
      <c r="C19" s="6"/>
      <c r="D19" s="45">
        <f t="shared" si="0"/>
        <v>0</v>
      </c>
      <c r="E19" s="36"/>
    </row>
    <row r="20" spans="1:5" ht="15.75">
      <c r="A20" s="56" t="s">
        <v>19</v>
      </c>
      <c r="B20" s="6"/>
      <c r="C20" s="6"/>
      <c r="D20" s="45">
        <f t="shared" si="0"/>
        <v>0</v>
      </c>
      <c r="E20" s="36"/>
    </row>
    <row r="21" spans="1:5" ht="15.75">
      <c r="A21" s="56" t="s">
        <v>20</v>
      </c>
      <c r="B21" s="6"/>
      <c r="C21" s="6"/>
      <c r="D21" s="45">
        <f t="shared" si="0"/>
        <v>0</v>
      </c>
      <c r="E21" s="36"/>
    </row>
    <row r="22" spans="1:5" ht="15.75">
      <c r="A22" s="56" t="s">
        <v>21</v>
      </c>
      <c r="B22" s="6"/>
      <c r="C22" s="6"/>
      <c r="D22" s="45">
        <f t="shared" si="0"/>
        <v>0</v>
      </c>
      <c r="E22" s="36"/>
    </row>
    <row r="23" spans="1:5" ht="15.75">
      <c r="A23" s="56" t="s">
        <v>22</v>
      </c>
      <c r="B23" s="6">
        <v>140.67</v>
      </c>
      <c r="C23" s="6">
        <v>112.54</v>
      </c>
      <c r="D23" s="45">
        <f t="shared" si="0"/>
        <v>253.20999999999998</v>
      </c>
      <c r="E23" s="36"/>
    </row>
    <row r="24" spans="1:5" ht="15.75">
      <c r="A24" s="56" t="s">
        <v>23</v>
      </c>
      <c r="B24" s="6"/>
      <c r="C24" s="6"/>
      <c r="D24" s="45">
        <f t="shared" si="0"/>
        <v>0</v>
      </c>
      <c r="E24" s="36"/>
    </row>
    <row r="25" spans="1:5" ht="15.75">
      <c r="A25" s="56" t="s">
        <v>24</v>
      </c>
      <c r="B25" s="6"/>
      <c r="C25" s="6"/>
      <c r="D25" s="45">
        <f t="shared" si="0"/>
        <v>0</v>
      </c>
      <c r="E25" s="36"/>
    </row>
    <row r="26" spans="1:5" ht="15.75">
      <c r="A26" s="56" t="s">
        <v>25</v>
      </c>
      <c r="B26" s="6"/>
      <c r="C26" s="6"/>
      <c r="D26" s="45">
        <f t="shared" si="0"/>
        <v>0</v>
      </c>
      <c r="E26" s="36"/>
    </row>
    <row r="27" spans="1:5" ht="15.75">
      <c r="A27" s="56" t="s">
        <v>26</v>
      </c>
      <c r="B27" s="6"/>
      <c r="C27" s="6"/>
      <c r="D27" s="45">
        <f t="shared" si="0"/>
        <v>0</v>
      </c>
      <c r="E27" s="36"/>
    </row>
    <row r="28" spans="1:5" ht="15.75">
      <c r="A28" s="56" t="s">
        <v>27</v>
      </c>
      <c r="B28" s="6"/>
      <c r="C28" s="6"/>
      <c r="D28" s="45">
        <f t="shared" si="0"/>
        <v>0</v>
      </c>
      <c r="E28" s="36"/>
    </row>
    <row r="29" spans="1:5" ht="15.75">
      <c r="A29" s="56" t="s">
        <v>28</v>
      </c>
      <c r="B29" s="6"/>
      <c r="C29" s="6"/>
      <c r="D29" s="45">
        <f t="shared" si="0"/>
        <v>0</v>
      </c>
      <c r="E29" s="36"/>
    </row>
    <row r="30" spans="1:5" ht="15.75">
      <c r="A30" s="56" t="s">
        <v>29</v>
      </c>
      <c r="B30" s="6">
        <v>141.31</v>
      </c>
      <c r="C30" s="6">
        <v>113.04</v>
      </c>
      <c r="D30" s="45">
        <f t="shared" si="0"/>
        <v>254.35000000000002</v>
      </c>
      <c r="E30" s="36"/>
    </row>
    <row r="31" spans="1:5" ht="15.75">
      <c r="A31" s="56" t="s">
        <v>30</v>
      </c>
      <c r="B31" s="6">
        <v>320.74</v>
      </c>
      <c r="C31" s="6">
        <v>256.58</v>
      </c>
      <c r="D31" s="45">
        <f t="shared" si="0"/>
        <v>577.3199999999999</v>
      </c>
      <c r="E31" s="36"/>
    </row>
    <row r="32" spans="1:5" ht="15.75">
      <c r="A32" s="56" t="s">
        <v>40</v>
      </c>
      <c r="B32" s="6"/>
      <c r="C32" s="6"/>
      <c r="D32" s="45">
        <f t="shared" si="0"/>
        <v>0</v>
      </c>
      <c r="E32" s="36"/>
    </row>
    <row r="33" spans="1:5" ht="15.75">
      <c r="A33" s="56" t="s">
        <v>41</v>
      </c>
      <c r="B33" s="6"/>
      <c r="C33" s="6"/>
      <c r="D33" s="45">
        <f t="shared" si="0"/>
        <v>0</v>
      </c>
      <c r="E33" s="36"/>
    </row>
    <row r="34" spans="1:5" ht="15.75">
      <c r="A34" s="56" t="s">
        <v>42</v>
      </c>
      <c r="B34" s="6"/>
      <c r="C34" s="6"/>
      <c r="D34" s="45">
        <f t="shared" si="0"/>
        <v>0</v>
      </c>
      <c r="E34" s="36"/>
    </row>
    <row r="35" spans="1:5" ht="15.75">
      <c r="A35" s="56" t="s">
        <v>44</v>
      </c>
      <c r="B35" s="6">
        <v>160.37</v>
      </c>
      <c r="C35" s="6">
        <v>128.29</v>
      </c>
      <c r="D35" s="45">
        <f t="shared" si="0"/>
        <v>288.65999999999997</v>
      </c>
      <c r="E35" s="36"/>
    </row>
    <row r="36" spans="1:5" ht="15.75">
      <c r="A36" s="56" t="s">
        <v>45</v>
      </c>
      <c r="B36" s="6"/>
      <c r="C36" s="6"/>
      <c r="D36" s="45">
        <f t="shared" si="0"/>
        <v>0</v>
      </c>
      <c r="E36" s="36"/>
    </row>
    <row r="37" spans="1:5" ht="15.75">
      <c r="A37" s="56" t="s">
        <v>47</v>
      </c>
      <c r="B37" s="6"/>
      <c r="C37" s="6"/>
      <c r="D37" s="45">
        <f t="shared" si="0"/>
        <v>0</v>
      </c>
      <c r="E37" s="36"/>
    </row>
    <row r="38" spans="1:5" ht="15.75">
      <c r="A38" s="56" t="s">
        <v>60</v>
      </c>
      <c r="B38" s="6"/>
      <c r="C38" s="6"/>
      <c r="D38" s="45">
        <f t="shared" si="0"/>
        <v>0</v>
      </c>
      <c r="E38" s="36"/>
    </row>
    <row r="39" spans="1:5" ht="15.75">
      <c r="A39" s="56" t="s">
        <v>61</v>
      </c>
      <c r="B39" s="6"/>
      <c r="C39" s="6"/>
      <c r="D39" s="45">
        <f t="shared" si="0"/>
        <v>0</v>
      </c>
      <c r="E39" s="36"/>
    </row>
    <row r="40" spans="1:5" ht="15.75">
      <c r="A40" s="56" t="s">
        <v>71</v>
      </c>
      <c r="B40" s="6"/>
      <c r="C40" s="6"/>
      <c r="D40" s="45">
        <f t="shared" si="0"/>
        <v>0</v>
      </c>
      <c r="E40" s="36"/>
    </row>
    <row r="41" spans="1:5" ht="15.75">
      <c r="A41" s="57" t="s">
        <v>31</v>
      </c>
      <c r="B41" s="68">
        <f>SUM(B6:B40)</f>
        <v>1398.7600000000002</v>
      </c>
      <c r="C41" s="68">
        <f>SUM(C6:C40)</f>
        <v>1119</v>
      </c>
      <c r="D41" s="45">
        <f t="shared" si="0"/>
        <v>2517.76</v>
      </c>
      <c r="E41" s="36"/>
    </row>
    <row r="44" spans="2:4" ht="12.75">
      <c r="B44" s="3"/>
      <c r="C44" s="3"/>
      <c r="D44" s="3"/>
    </row>
    <row r="45" spans="3:4" ht="12.75">
      <c r="C45" s="3"/>
      <c r="D45" s="3"/>
    </row>
    <row r="46" ht="12.75">
      <c r="D46" s="3"/>
    </row>
  </sheetData>
  <mergeCells count="1">
    <mergeCell ref="A2:J2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50"/>
  <sheetViews>
    <sheetView tabSelected="1" workbookViewId="0" topLeftCell="A13">
      <selection activeCell="C45" sqref="C45"/>
    </sheetView>
  </sheetViews>
  <sheetFormatPr defaultColWidth="9.140625" defaultRowHeight="12.75"/>
  <cols>
    <col min="2" max="2" width="34.421875" style="0" customWidth="1"/>
    <col min="3" max="3" width="12.57421875" style="0" customWidth="1"/>
    <col min="4" max="5" width="13.140625" style="0" bestFit="1" customWidth="1"/>
  </cols>
  <sheetData>
    <row r="3" spans="1:7" ht="15">
      <c r="A3" s="79" t="s">
        <v>81</v>
      </c>
      <c r="B3" s="79"/>
      <c r="C3" s="79"/>
      <c r="D3" s="79"/>
      <c r="E3" s="79"/>
      <c r="F3" s="79"/>
      <c r="G3" s="79"/>
    </row>
    <row r="4" spans="1:7" ht="14.25">
      <c r="A4" s="36"/>
      <c r="B4" s="36"/>
      <c r="C4" s="38"/>
      <c r="D4" s="1"/>
      <c r="E4" s="1"/>
      <c r="F4" s="36"/>
      <c r="G4" s="36"/>
    </row>
    <row r="5" spans="1:7" ht="30">
      <c r="A5" s="50" t="s">
        <v>0</v>
      </c>
      <c r="B5" s="51" t="s">
        <v>1</v>
      </c>
      <c r="C5" s="43" t="s">
        <v>35</v>
      </c>
      <c r="D5" s="1"/>
      <c r="E5" s="1"/>
      <c r="F5" s="36"/>
      <c r="G5" s="36"/>
    </row>
    <row r="6" spans="1:7" ht="15.75">
      <c r="A6" s="55">
        <v>1</v>
      </c>
      <c r="B6" s="56" t="s">
        <v>6</v>
      </c>
      <c r="C6" s="69">
        <v>31882.83</v>
      </c>
      <c r="D6" s="1"/>
      <c r="E6" s="1"/>
      <c r="F6" s="36"/>
      <c r="G6" s="36"/>
    </row>
    <row r="7" spans="1:7" ht="15.75">
      <c r="A7" s="55">
        <v>2</v>
      </c>
      <c r="B7" s="56" t="s">
        <v>7</v>
      </c>
      <c r="C7" s="69">
        <v>28098.4</v>
      </c>
      <c r="D7" s="1"/>
      <c r="E7" s="1"/>
      <c r="F7" s="36"/>
      <c r="G7" s="36"/>
    </row>
    <row r="8" spans="1:7" ht="15.75">
      <c r="A8" s="55">
        <v>3</v>
      </c>
      <c r="B8" s="56" t="s">
        <v>8</v>
      </c>
      <c r="C8" s="69">
        <v>8618.11</v>
      </c>
      <c r="D8" s="1"/>
      <c r="E8" s="1"/>
      <c r="F8" s="36"/>
      <c r="G8" s="36"/>
    </row>
    <row r="9" spans="1:7" ht="15.75">
      <c r="A9" s="55">
        <v>4</v>
      </c>
      <c r="B9" s="56" t="s">
        <v>9</v>
      </c>
      <c r="C9" s="69">
        <v>4744.06</v>
      </c>
      <c r="D9" s="1"/>
      <c r="E9" s="1"/>
      <c r="F9" s="36"/>
      <c r="G9" s="36"/>
    </row>
    <row r="10" spans="1:7" ht="15.75">
      <c r="A10" s="55">
        <v>5</v>
      </c>
      <c r="B10" s="56" t="s">
        <v>10</v>
      </c>
      <c r="C10" s="69">
        <v>21325.36</v>
      </c>
      <c r="D10" s="1"/>
      <c r="E10" s="1"/>
      <c r="F10" s="36"/>
      <c r="G10" s="36"/>
    </row>
    <row r="11" spans="1:7" ht="15.75">
      <c r="A11" s="55">
        <v>6</v>
      </c>
      <c r="B11" s="56" t="s">
        <v>11</v>
      </c>
      <c r="C11" s="69">
        <v>77551.72</v>
      </c>
      <c r="D11" s="1"/>
      <c r="E11" s="1"/>
      <c r="F11" s="36"/>
      <c r="G11" s="36"/>
    </row>
    <row r="12" spans="1:7" ht="15.75">
      <c r="A12" s="55">
        <v>7</v>
      </c>
      <c r="B12" s="56" t="s">
        <v>59</v>
      </c>
      <c r="C12" s="69">
        <v>27089.08</v>
      </c>
      <c r="D12" s="1"/>
      <c r="E12" s="1"/>
      <c r="F12" s="36"/>
      <c r="G12" s="36"/>
    </row>
    <row r="13" spans="1:7" ht="15.75">
      <c r="A13" s="55">
        <v>8</v>
      </c>
      <c r="B13" s="56" t="s">
        <v>12</v>
      </c>
      <c r="C13" s="69">
        <v>48696.85</v>
      </c>
      <c r="D13" s="1"/>
      <c r="E13" s="1"/>
      <c r="F13" s="36"/>
      <c r="G13" s="36"/>
    </row>
    <row r="14" spans="1:7" ht="15.75">
      <c r="A14" s="55">
        <v>9</v>
      </c>
      <c r="B14" s="56" t="s">
        <v>13</v>
      </c>
      <c r="C14" s="69">
        <v>27996.26</v>
      </c>
      <c r="D14" s="1"/>
      <c r="E14" s="1"/>
      <c r="F14" s="36"/>
      <c r="G14" s="36"/>
    </row>
    <row r="15" spans="1:7" ht="15.75">
      <c r="A15" s="55">
        <v>10</v>
      </c>
      <c r="B15" s="56" t="s">
        <v>14</v>
      </c>
      <c r="C15" s="69">
        <v>44702.59</v>
      </c>
      <c r="D15" s="1"/>
      <c r="E15" s="1"/>
      <c r="F15" s="36"/>
      <c r="G15" s="36"/>
    </row>
    <row r="16" spans="1:7" ht="15.75">
      <c r="A16" s="55">
        <v>11</v>
      </c>
      <c r="B16" s="56" t="s">
        <v>15</v>
      </c>
      <c r="C16" s="69">
        <v>22253.1</v>
      </c>
      <c r="D16" s="1"/>
      <c r="E16" s="1"/>
      <c r="F16" s="36"/>
      <c r="G16" s="36"/>
    </row>
    <row r="17" spans="1:7" ht="15.75">
      <c r="A17" s="55">
        <v>12</v>
      </c>
      <c r="B17" s="56" t="s">
        <v>16</v>
      </c>
      <c r="C17" s="69">
        <v>3065.53</v>
      </c>
      <c r="D17" s="1"/>
      <c r="E17" s="1"/>
      <c r="F17" s="36"/>
      <c r="G17" s="36"/>
    </row>
    <row r="18" spans="1:7" ht="15.75">
      <c r="A18" s="55">
        <v>13</v>
      </c>
      <c r="B18" s="56" t="s">
        <v>17</v>
      </c>
      <c r="C18" s="69">
        <v>13517.43</v>
      </c>
      <c r="D18" s="1"/>
      <c r="E18" s="1"/>
      <c r="F18" s="36"/>
      <c r="G18" s="36"/>
    </row>
    <row r="19" spans="1:7" ht="15.75">
      <c r="A19" s="55">
        <v>14</v>
      </c>
      <c r="B19" s="56" t="s">
        <v>18</v>
      </c>
      <c r="C19" s="69">
        <v>1507.87</v>
      </c>
      <c r="D19" s="1"/>
      <c r="E19" s="1"/>
      <c r="F19" s="36"/>
      <c r="G19" s="36"/>
    </row>
    <row r="20" spans="1:7" ht="15.75">
      <c r="A20" s="55">
        <v>15</v>
      </c>
      <c r="B20" s="56" t="s">
        <v>19</v>
      </c>
      <c r="C20" s="69">
        <v>0</v>
      </c>
      <c r="D20" s="1"/>
      <c r="E20" s="1"/>
      <c r="F20" s="36"/>
      <c r="G20" s="36"/>
    </row>
    <row r="21" spans="1:7" ht="15.75">
      <c r="A21" s="55">
        <v>16</v>
      </c>
      <c r="B21" s="56" t="s">
        <v>20</v>
      </c>
      <c r="C21" s="69">
        <v>2321.68</v>
      </c>
      <c r="D21" s="1"/>
      <c r="E21" s="1"/>
      <c r="F21" s="36"/>
      <c r="G21" s="36"/>
    </row>
    <row r="22" spans="1:7" ht="15.75">
      <c r="A22" s="55">
        <v>17</v>
      </c>
      <c r="B22" s="56" t="s">
        <v>21</v>
      </c>
      <c r="C22" s="69">
        <v>6033.98</v>
      </c>
      <c r="D22" s="1"/>
      <c r="E22" s="1"/>
      <c r="F22" s="36"/>
      <c r="G22" s="36"/>
    </row>
    <row r="23" spans="1:7" ht="15.75">
      <c r="A23" s="55">
        <v>18</v>
      </c>
      <c r="B23" s="56" t="s">
        <v>22</v>
      </c>
      <c r="C23" s="69">
        <v>20998.47</v>
      </c>
      <c r="D23" s="1"/>
      <c r="E23" s="1"/>
      <c r="F23" s="36"/>
      <c r="G23" s="36"/>
    </row>
    <row r="24" spans="1:7" ht="15.75">
      <c r="A24" s="55">
        <v>19</v>
      </c>
      <c r="B24" s="56" t="s">
        <v>23</v>
      </c>
      <c r="C24" s="69">
        <v>942.52</v>
      </c>
      <c r="D24" s="1"/>
      <c r="E24" s="1"/>
      <c r="F24" s="36"/>
      <c r="G24" s="36"/>
    </row>
    <row r="25" spans="1:7" ht="15.75">
      <c r="A25" s="55">
        <v>20</v>
      </c>
      <c r="B25" s="56" t="s">
        <v>24</v>
      </c>
      <c r="C25" s="69">
        <v>5702.75</v>
      </c>
      <c r="D25" s="1"/>
      <c r="E25" s="1"/>
      <c r="F25" s="36"/>
      <c r="G25" s="36"/>
    </row>
    <row r="26" spans="1:7" ht="15.75">
      <c r="A26" s="55">
        <v>21</v>
      </c>
      <c r="B26" s="56" t="s">
        <v>25</v>
      </c>
      <c r="C26" s="69">
        <v>32339.55</v>
      </c>
      <c r="D26" s="1"/>
      <c r="E26" s="1"/>
      <c r="F26" s="36"/>
      <c r="G26" s="36"/>
    </row>
    <row r="27" spans="1:7" ht="15.75">
      <c r="A27" s="55">
        <v>22</v>
      </c>
      <c r="B27" s="56" t="s">
        <v>26</v>
      </c>
      <c r="C27" s="69">
        <v>11278.67</v>
      </c>
      <c r="D27" s="1"/>
      <c r="E27" s="1"/>
      <c r="F27" s="36"/>
      <c r="G27" s="36"/>
    </row>
    <row r="28" spans="1:7" ht="15.75">
      <c r="A28" s="55">
        <v>23</v>
      </c>
      <c r="B28" s="56" t="s">
        <v>27</v>
      </c>
      <c r="C28" s="69">
        <v>8810.98</v>
      </c>
      <c r="D28" s="1"/>
      <c r="E28" s="1"/>
      <c r="F28" s="36"/>
      <c r="G28" s="36"/>
    </row>
    <row r="29" spans="1:7" ht="15.75">
      <c r="A29" s="55">
        <v>24</v>
      </c>
      <c r="B29" s="56" t="s">
        <v>28</v>
      </c>
      <c r="C29" s="69">
        <v>4508.29</v>
      </c>
      <c r="D29" s="1"/>
      <c r="E29" s="1"/>
      <c r="F29" s="36"/>
      <c r="G29" s="36"/>
    </row>
    <row r="30" spans="1:7" ht="15.75">
      <c r="A30" s="55">
        <v>25</v>
      </c>
      <c r="B30" s="56" t="s">
        <v>29</v>
      </c>
      <c r="C30" s="69">
        <v>15619.31</v>
      </c>
      <c r="D30" s="1"/>
      <c r="E30" s="1"/>
      <c r="F30" s="36"/>
      <c r="G30" s="36"/>
    </row>
    <row r="31" spans="1:7" ht="15.75">
      <c r="A31" s="55">
        <v>26</v>
      </c>
      <c r="B31" s="56" t="s">
        <v>30</v>
      </c>
      <c r="C31" s="69">
        <v>9253.92</v>
      </c>
      <c r="D31" s="1"/>
      <c r="E31" s="1"/>
      <c r="F31" s="36"/>
      <c r="G31" s="36"/>
    </row>
    <row r="32" spans="1:7" ht="15.75">
      <c r="A32" s="55">
        <v>27</v>
      </c>
      <c r="B32" s="56" t="s">
        <v>40</v>
      </c>
      <c r="C32" s="69">
        <v>380.77</v>
      </c>
      <c r="D32" s="1"/>
      <c r="E32" s="1"/>
      <c r="F32" s="36"/>
      <c r="G32" s="36"/>
    </row>
    <row r="33" spans="1:7" ht="15.75">
      <c r="A33" s="55">
        <v>28</v>
      </c>
      <c r="B33" s="56" t="s">
        <v>41</v>
      </c>
      <c r="C33" s="69">
        <v>7589.31</v>
      </c>
      <c r="D33" s="1"/>
      <c r="E33" s="1"/>
      <c r="F33" s="36"/>
      <c r="G33" s="36"/>
    </row>
    <row r="34" spans="1:7" ht="15.75">
      <c r="A34" s="55">
        <v>29</v>
      </c>
      <c r="B34" s="56" t="s">
        <v>42</v>
      </c>
      <c r="C34" s="69">
        <v>12513.72</v>
      </c>
      <c r="D34" s="1"/>
      <c r="E34" s="1"/>
      <c r="F34" s="36"/>
      <c r="G34" s="36"/>
    </row>
    <row r="35" spans="1:7" ht="15.75">
      <c r="A35" s="55">
        <v>30</v>
      </c>
      <c r="B35" s="56" t="s">
        <v>44</v>
      </c>
      <c r="C35" s="69">
        <v>1517.54</v>
      </c>
      <c r="D35" s="1"/>
      <c r="E35" s="1"/>
      <c r="F35" s="36"/>
      <c r="G35" s="36"/>
    </row>
    <row r="36" spans="1:7" ht="15.75">
      <c r="A36" s="55">
        <v>31</v>
      </c>
      <c r="B36" s="56" t="s">
        <v>45</v>
      </c>
      <c r="C36" s="69">
        <v>0</v>
      </c>
      <c r="D36" s="1"/>
      <c r="E36" s="1"/>
      <c r="F36" s="36"/>
      <c r="G36" s="36"/>
    </row>
    <row r="37" spans="1:7" ht="15.75">
      <c r="A37" s="55">
        <v>32</v>
      </c>
      <c r="B37" s="56" t="s">
        <v>47</v>
      </c>
      <c r="C37" s="69">
        <v>843.92</v>
      </c>
      <c r="D37" s="1"/>
      <c r="E37" s="1"/>
      <c r="F37" s="36"/>
      <c r="G37" s="36"/>
    </row>
    <row r="38" spans="1:7" ht="15.75">
      <c r="A38" s="55">
        <v>33</v>
      </c>
      <c r="B38" s="56" t="s">
        <v>60</v>
      </c>
      <c r="C38" s="69">
        <v>696.84</v>
      </c>
      <c r="D38" s="1"/>
      <c r="E38" s="1"/>
      <c r="F38" s="36"/>
      <c r="G38" s="36"/>
    </row>
    <row r="39" spans="1:7" ht="15.75">
      <c r="A39" s="55">
        <v>34</v>
      </c>
      <c r="B39" s="56" t="s">
        <v>61</v>
      </c>
      <c r="C39" s="69">
        <v>3464.57</v>
      </c>
      <c r="D39" s="1"/>
      <c r="E39" s="1"/>
      <c r="F39" s="36"/>
      <c r="G39" s="36"/>
    </row>
    <row r="40" spans="1:7" ht="15.75">
      <c r="A40" s="55">
        <v>35</v>
      </c>
      <c r="B40" s="56" t="s">
        <v>71</v>
      </c>
      <c r="C40" s="69">
        <v>1035.31</v>
      </c>
      <c r="D40" s="1"/>
      <c r="E40" s="1"/>
      <c r="F40" s="36"/>
      <c r="G40" s="36"/>
    </row>
    <row r="41" spans="1:7" ht="15.75">
      <c r="A41" s="57"/>
      <c r="B41" s="57" t="s">
        <v>31</v>
      </c>
      <c r="C41" s="7">
        <f>SUM(C6:C40)</f>
        <v>506901.28999999986</v>
      </c>
      <c r="D41" s="1"/>
      <c r="E41" s="1"/>
      <c r="F41" s="36"/>
      <c r="G41" s="36"/>
    </row>
    <row r="42" spans="1:7" ht="14.25">
      <c r="A42" s="36"/>
      <c r="B42" s="36"/>
      <c r="C42" s="38"/>
      <c r="D42" s="1"/>
      <c r="E42" s="1"/>
      <c r="F42" s="36"/>
      <c r="G42" s="36"/>
    </row>
    <row r="43" spans="1:7" ht="14.25">
      <c r="A43" s="36"/>
      <c r="B43" s="36"/>
      <c r="C43" s="38"/>
      <c r="D43" s="1"/>
      <c r="E43" s="36"/>
      <c r="F43" s="36"/>
      <c r="G43" s="36"/>
    </row>
    <row r="44" spans="3:4" ht="12.75">
      <c r="C44" s="3"/>
      <c r="D44" s="3"/>
    </row>
    <row r="45" spans="2:4" ht="12.75">
      <c r="B45" s="3"/>
      <c r="C45" s="3"/>
      <c r="D45" s="5"/>
    </row>
    <row r="46" spans="3:4" ht="12.75">
      <c r="C46" s="3"/>
      <c r="D46" s="3"/>
    </row>
    <row r="47" spans="3:4" ht="12.75">
      <c r="C47" s="3"/>
      <c r="D47" s="3"/>
    </row>
    <row r="49" spans="3:4" ht="12.75">
      <c r="C49" s="3"/>
      <c r="D49" s="3"/>
    </row>
    <row r="50" ht="12.75">
      <c r="D50" s="3"/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H42"/>
  <sheetViews>
    <sheetView workbookViewId="0" topLeftCell="A4">
      <selection activeCell="C28" sqref="C28"/>
    </sheetView>
  </sheetViews>
  <sheetFormatPr defaultColWidth="9.140625" defaultRowHeight="12.75"/>
  <cols>
    <col min="2" max="2" width="31.57421875" style="0" customWidth="1"/>
    <col min="3" max="3" width="13.7109375" style="0" customWidth="1"/>
  </cols>
  <sheetData>
    <row r="4" spans="1:8" ht="12.75" customHeight="1">
      <c r="A4" s="80" t="s">
        <v>82</v>
      </c>
      <c r="B4" s="80"/>
      <c r="C4" s="80"/>
      <c r="D4" s="80"/>
      <c r="E4" s="80"/>
      <c r="F4" s="80"/>
      <c r="G4" s="80"/>
      <c r="H4" s="80"/>
    </row>
    <row r="5" spans="1:8" ht="14.25">
      <c r="A5" s="36"/>
      <c r="B5" s="36"/>
      <c r="C5" s="36"/>
      <c r="D5" s="39"/>
      <c r="E5" s="36"/>
      <c r="F5" s="36"/>
      <c r="G5" s="36"/>
      <c r="H5" s="36"/>
    </row>
    <row r="6" spans="1:8" ht="30">
      <c r="A6" s="50" t="s">
        <v>0</v>
      </c>
      <c r="B6" s="51" t="s">
        <v>1</v>
      </c>
      <c r="C6" s="43" t="s">
        <v>65</v>
      </c>
      <c r="D6" s="39"/>
      <c r="E6" s="36"/>
      <c r="F6" s="36"/>
      <c r="G6" s="36"/>
      <c r="H6" s="36"/>
    </row>
    <row r="7" spans="1:8" ht="15.75">
      <c r="A7" s="55">
        <v>1</v>
      </c>
      <c r="B7" s="56" t="s">
        <v>6</v>
      </c>
      <c r="C7" s="6">
        <v>18313.75</v>
      </c>
      <c r="D7" s="36"/>
      <c r="E7" s="36"/>
      <c r="F7" s="36"/>
      <c r="G7" s="36"/>
      <c r="H7" s="36"/>
    </row>
    <row r="8" spans="1:8" ht="15.75">
      <c r="A8" s="55">
        <v>2</v>
      </c>
      <c r="B8" s="56" t="s">
        <v>7</v>
      </c>
      <c r="C8" s="6"/>
      <c r="D8" s="36"/>
      <c r="E8" s="36"/>
      <c r="F8" s="36"/>
      <c r="G8" s="36"/>
      <c r="H8" s="36"/>
    </row>
    <row r="9" spans="1:3" ht="15.75">
      <c r="A9" s="55">
        <v>3</v>
      </c>
      <c r="B9" s="56" t="s">
        <v>8</v>
      </c>
      <c r="C9" s="66"/>
    </row>
    <row r="10" spans="1:3" ht="15.75">
      <c r="A10" s="55">
        <v>4</v>
      </c>
      <c r="B10" s="56" t="s">
        <v>9</v>
      </c>
      <c r="C10" s="66"/>
    </row>
    <row r="11" spans="1:3" ht="15.75">
      <c r="A11" s="55">
        <v>5</v>
      </c>
      <c r="B11" s="56" t="s">
        <v>10</v>
      </c>
      <c r="C11" s="66">
        <v>1889.85</v>
      </c>
    </row>
    <row r="12" spans="1:3" ht="15.75">
      <c r="A12" s="55">
        <v>6</v>
      </c>
      <c r="B12" s="56" t="s">
        <v>11</v>
      </c>
      <c r="C12" s="66">
        <v>9813.87</v>
      </c>
    </row>
    <row r="13" spans="1:3" ht="15.75">
      <c r="A13" s="55">
        <v>7</v>
      </c>
      <c r="B13" s="56" t="s">
        <v>59</v>
      </c>
      <c r="C13" s="66">
        <v>687.36</v>
      </c>
    </row>
    <row r="14" spans="1:3" ht="15.75">
      <c r="A14" s="55">
        <v>8</v>
      </c>
      <c r="B14" s="56" t="s">
        <v>12</v>
      </c>
      <c r="C14" s="66">
        <v>22003.53</v>
      </c>
    </row>
    <row r="15" spans="1:3" ht="15.75">
      <c r="A15" s="55">
        <v>9</v>
      </c>
      <c r="B15" s="56" t="s">
        <v>13</v>
      </c>
      <c r="C15" s="66">
        <v>7454.98</v>
      </c>
    </row>
    <row r="16" spans="1:3" ht="15.75">
      <c r="A16" s="55">
        <v>10</v>
      </c>
      <c r="B16" s="56" t="s">
        <v>14</v>
      </c>
      <c r="C16" s="66">
        <v>17045.1</v>
      </c>
    </row>
    <row r="17" spans="1:3" ht="15.75">
      <c r="A17" s="55">
        <v>11</v>
      </c>
      <c r="B17" s="56" t="s">
        <v>15</v>
      </c>
      <c r="C17" s="66">
        <v>4299.72</v>
      </c>
    </row>
    <row r="18" spans="1:3" ht="15.75">
      <c r="A18" s="55">
        <v>12</v>
      </c>
      <c r="B18" s="56" t="s">
        <v>16</v>
      </c>
      <c r="C18" s="66">
        <v>2381.13</v>
      </c>
    </row>
    <row r="19" spans="1:3" ht="15.75">
      <c r="A19" s="55">
        <v>13</v>
      </c>
      <c r="B19" s="56" t="s">
        <v>17</v>
      </c>
      <c r="C19" s="66">
        <v>12743.87</v>
      </c>
    </row>
    <row r="20" spans="1:3" ht="15.75">
      <c r="A20" s="55">
        <v>14</v>
      </c>
      <c r="B20" s="56" t="s">
        <v>18</v>
      </c>
      <c r="C20" s="66"/>
    </row>
    <row r="21" spans="1:3" ht="15.75">
      <c r="A21" s="55">
        <v>15</v>
      </c>
      <c r="B21" s="56" t="s">
        <v>19</v>
      </c>
      <c r="C21" s="66"/>
    </row>
    <row r="22" spans="1:3" ht="15.75">
      <c r="A22" s="55">
        <v>16</v>
      </c>
      <c r="B22" s="56" t="s">
        <v>20</v>
      </c>
      <c r="C22" s="66"/>
    </row>
    <row r="23" spans="1:3" ht="15.75">
      <c r="A23" s="55">
        <v>17</v>
      </c>
      <c r="B23" s="56" t="s">
        <v>21</v>
      </c>
      <c r="C23" s="66">
        <v>4398.38</v>
      </c>
    </row>
    <row r="24" spans="1:3" ht="15.75">
      <c r="A24" s="55">
        <v>18</v>
      </c>
      <c r="B24" s="56" t="s">
        <v>22</v>
      </c>
      <c r="C24" s="66">
        <v>117.84</v>
      </c>
    </row>
    <row r="25" spans="1:3" ht="15.75">
      <c r="A25" s="55">
        <v>19</v>
      </c>
      <c r="B25" s="56" t="s">
        <v>23</v>
      </c>
      <c r="C25" s="66"/>
    </row>
    <row r="26" spans="1:3" ht="15.75">
      <c r="A26" s="55">
        <v>20</v>
      </c>
      <c r="B26" s="56" t="s">
        <v>24</v>
      </c>
      <c r="C26" s="66">
        <v>1060.42</v>
      </c>
    </row>
    <row r="27" spans="1:3" ht="15.75">
      <c r="A27" s="55">
        <v>21</v>
      </c>
      <c r="B27" s="56" t="s">
        <v>25</v>
      </c>
      <c r="C27" s="66">
        <v>1950.33</v>
      </c>
    </row>
    <row r="28" spans="1:3" ht="15.75">
      <c r="A28" s="55">
        <v>22</v>
      </c>
      <c r="B28" s="56" t="s">
        <v>26</v>
      </c>
      <c r="C28" s="66">
        <v>2546.57</v>
      </c>
    </row>
    <row r="29" spans="1:3" ht="15.75">
      <c r="A29" s="55">
        <v>23</v>
      </c>
      <c r="B29" s="56" t="s">
        <v>27</v>
      </c>
      <c r="C29" s="66"/>
    </row>
    <row r="30" spans="1:3" ht="15.75">
      <c r="A30" s="55">
        <v>24</v>
      </c>
      <c r="B30" s="56" t="s">
        <v>28</v>
      </c>
      <c r="C30" s="66"/>
    </row>
    <row r="31" spans="1:3" ht="15.75">
      <c r="A31" s="55">
        <v>25</v>
      </c>
      <c r="B31" s="56" t="s">
        <v>29</v>
      </c>
      <c r="C31" s="66">
        <v>5007.5</v>
      </c>
    </row>
    <row r="32" spans="1:3" ht="15.75">
      <c r="A32" s="55">
        <v>26</v>
      </c>
      <c r="B32" s="56" t="s">
        <v>30</v>
      </c>
      <c r="C32" s="66">
        <v>2820.04</v>
      </c>
    </row>
    <row r="33" spans="1:3" ht="15.75">
      <c r="A33" s="55">
        <v>27</v>
      </c>
      <c r="B33" s="56" t="s">
        <v>40</v>
      </c>
      <c r="C33" s="66"/>
    </row>
    <row r="34" spans="1:3" ht="15.75">
      <c r="A34" s="55">
        <v>28</v>
      </c>
      <c r="B34" s="56" t="s">
        <v>41</v>
      </c>
      <c r="C34" s="66">
        <v>2699.77</v>
      </c>
    </row>
    <row r="35" spans="1:3" ht="15.75">
      <c r="A35" s="55">
        <v>29</v>
      </c>
      <c r="B35" s="56" t="s">
        <v>42</v>
      </c>
      <c r="C35" s="66">
        <v>4542.46</v>
      </c>
    </row>
    <row r="36" spans="1:3" ht="15.75">
      <c r="A36" s="55">
        <v>30</v>
      </c>
      <c r="B36" s="56" t="s">
        <v>44</v>
      </c>
      <c r="C36" s="66"/>
    </row>
    <row r="37" spans="1:3" ht="15.75">
      <c r="A37" s="55">
        <v>31</v>
      </c>
      <c r="B37" s="56" t="s">
        <v>45</v>
      </c>
      <c r="C37" s="66"/>
    </row>
    <row r="38" spans="1:3" ht="15.75">
      <c r="A38" s="55">
        <v>32</v>
      </c>
      <c r="B38" s="56" t="s">
        <v>47</v>
      </c>
      <c r="C38" s="66"/>
    </row>
    <row r="39" spans="1:3" ht="15.75">
      <c r="A39" s="55">
        <v>33</v>
      </c>
      <c r="B39" s="56" t="s">
        <v>60</v>
      </c>
      <c r="C39" s="66"/>
    </row>
    <row r="40" spans="1:3" ht="15.75">
      <c r="A40" s="55">
        <v>34</v>
      </c>
      <c r="B40" s="56" t="s">
        <v>61</v>
      </c>
      <c r="C40" s="66"/>
    </row>
    <row r="41" spans="1:3" ht="15.75">
      <c r="A41" s="55">
        <v>35</v>
      </c>
      <c r="B41" s="56" t="s">
        <v>71</v>
      </c>
      <c r="C41" s="66"/>
    </row>
    <row r="42" spans="1:3" ht="15.75">
      <c r="A42" s="57"/>
      <c r="B42" s="57" t="s">
        <v>31</v>
      </c>
      <c r="C42" s="67">
        <f>SUM(C7:C41)</f>
        <v>121776.47000000002</v>
      </c>
    </row>
  </sheetData>
  <mergeCells count="1">
    <mergeCell ref="A4:H4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43"/>
  <sheetViews>
    <sheetView workbookViewId="0" topLeftCell="A1">
      <selection activeCell="M29" sqref="M29"/>
    </sheetView>
  </sheetViews>
  <sheetFormatPr defaultColWidth="9.140625" defaultRowHeight="12.75"/>
  <cols>
    <col min="2" max="2" width="31.28125" style="0" customWidth="1"/>
    <col min="3" max="3" width="13.7109375" style="0" customWidth="1"/>
    <col min="4" max="4" width="13.140625" style="0" bestFit="1" customWidth="1"/>
    <col min="5" max="5" width="16.140625" style="0" bestFit="1" customWidth="1"/>
  </cols>
  <sheetData>
    <row r="3" spans="1:7" ht="12.75" customHeight="1">
      <c r="A3" s="80" t="s">
        <v>88</v>
      </c>
      <c r="B3" s="80"/>
      <c r="C3" s="80"/>
      <c r="D3" s="80"/>
      <c r="E3" s="80"/>
      <c r="F3" s="80"/>
      <c r="G3" s="80"/>
    </row>
    <row r="4" spans="1:7" ht="15">
      <c r="A4" s="81"/>
      <c r="B4" s="81"/>
      <c r="C4" s="41" t="s">
        <v>36</v>
      </c>
      <c r="D4" s="1"/>
      <c r="E4" s="36"/>
      <c r="F4" s="36"/>
      <c r="G4" s="36"/>
    </row>
    <row r="5" spans="1:7" ht="15.75">
      <c r="A5" s="50" t="s">
        <v>0</v>
      </c>
      <c r="B5" s="51" t="s">
        <v>1</v>
      </c>
      <c r="C5" s="42" t="s">
        <v>37</v>
      </c>
      <c r="D5" s="42" t="s">
        <v>38</v>
      </c>
      <c r="E5" s="43" t="s">
        <v>39</v>
      </c>
      <c r="F5" s="36"/>
      <c r="G5" s="36"/>
    </row>
    <row r="6" spans="1:7" ht="15.75">
      <c r="A6" s="55">
        <v>1</v>
      </c>
      <c r="B6" s="56" t="s">
        <v>6</v>
      </c>
      <c r="C6" s="6">
        <v>23883.56</v>
      </c>
      <c r="D6" s="6">
        <v>60404.7</v>
      </c>
      <c r="E6" s="7">
        <f>C6+D6</f>
        <v>84288.26</v>
      </c>
      <c r="F6" s="36"/>
      <c r="G6" s="36"/>
    </row>
    <row r="7" spans="1:7" ht="15.75">
      <c r="A7" s="55">
        <v>2</v>
      </c>
      <c r="B7" s="56" t="s">
        <v>7</v>
      </c>
      <c r="C7" s="6">
        <f>5644.33+548.34</f>
        <v>6192.67</v>
      </c>
      <c r="D7" s="6">
        <f>7896.09+1664.9</f>
        <v>9560.99</v>
      </c>
      <c r="E7" s="7">
        <f aca="true" t="shared" si="0" ref="E7:E40">C7+D7</f>
        <v>15753.66</v>
      </c>
      <c r="F7" s="36"/>
      <c r="G7" s="36"/>
    </row>
    <row r="8" spans="1:7" ht="15.75">
      <c r="A8" s="55">
        <v>3</v>
      </c>
      <c r="B8" s="56" t="s">
        <v>8</v>
      </c>
      <c r="C8" s="6">
        <v>2945.28</v>
      </c>
      <c r="D8" s="6">
        <v>2269.44</v>
      </c>
      <c r="E8" s="7">
        <f t="shared" si="0"/>
        <v>5214.72</v>
      </c>
      <c r="F8" s="36"/>
      <c r="G8" s="36"/>
    </row>
    <row r="9" spans="1:7" ht="15.75">
      <c r="A9" s="55">
        <v>4</v>
      </c>
      <c r="B9" s="56" t="s">
        <v>9</v>
      </c>
      <c r="C9" s="6">
        <v>2842.66</v>
      </c>
      <c r="D9" s="6">
        <v>5995.81</v>
      </c>
      <c r="E9" s="7">
        <f t="shared" si="0"/>
        <v>8838.470000000001</v>
      </c>
      <c r="F9" s="36"/>
      <c r="G9" s="36"/>
    </row>
    <row r="10" spans="1:7" ht="15.75">
      <c r="A10" s="55">
        <v>5</v>
      </c>
      <c r="B10" s="56" t="s">
        <v>10</v>
      </c>
      <c r="C10" s="6">
        <v>10298.76</v>
      </c>
      <c r="D10" s="6">
        <v>22590.71</v>
      </c>
      <c r="E10" s="7">
        <f t="shared" si="0"/>
        <v>32889.47</v>
      </c>
      <c r="F10" s="36"/>
      <c r="G10" s="36"/>
    </row>
    <row r="11" spans="1:7" ht="15.75">
      <c r="A11" s="55">
        <v>6</v>
      </c>
      <c r="B11" s="56" t="s">
        <v>11</v>
      </c>
      <c r="C11" s="6">
        <f>14639.7+8196.52+5659.22</f>
        <v>28495.440000000002</v>
      </c>
      <c r="D11" s="6">
        <f>32570.57+16444.53+16700.25</f>
        <v>65715.35</v>
      </c>
      <c r="E11" s="7">
        <f t="shared" si="0"/>
        <v>94210.79000000001</v>
      </c>
      <c r="F11" s="36"/>
      <c r="G11" s="36"/>
    </row>
    <row r="12" spans="1:7" ht="15.75">
      <c r="A12" s="55">
        <v>7</v>
      </c>
      <c r="B12" s="56" t="s">
        <v>59</v>
      </c>
      <c r="C12" s="6">
        <f>346.54+1579.93+3106.03+2557.9+917.67+4046.51</f>
        <v>12554.58</v>
      </c>
      <c r="D12" s="6">
        <f>1917.61+4129.67+3836.16+1947.83+3913.43+5965.94</f>
        <v>21710.64</v>
      </c>
      <c r="E12" s="7">
        <f t="shared" si="0"/>
        <v>34265.22</v>
      </c>
      <c r="F12" s="36"/>
      <c r="G12" s="36"/>
    </row>
    <row r="13" spans="1:7" ht="15.75">
      <c r="A13" s="55">
        <v>8</v>
      </c>
      <c r="B13" s="56" t="s">
        <v>12</v>
      </c>
      <c r="C13" s="6">
        <v>55771.36</v>
      </c>
      <c r="D13" s="6">
        <v>110208.41</v>
      </c>
      <c r="E13" s="7">
        <f t="shared" si="0"/>
        <v>165979.77000000002</v>
      </c>
      <c r="F13" s="36"/>
      <c r="G13" s="36"/>
    </row>
    <row r="14" spans="1:7" ht="15.75">
      <c r="A14" s="55">
        <v>9</v>
      </c>
      <c r="B14" s="56" t="s">
        <v>13</v>
      </c>
      <c r="C14" s="6">
        <f>11636.33+6617.59</f>
        <v>18253.92</v>
      </c>
      <c r="D14" s="6">
        <f>27072.75+15696.73</f>
        <v>42769.479999999996</v>
      </c>
      <c r="E14" s="7">
        <f t="shared" si="0"/>
        <v>61023.399999999994</v>
      </c>
      <c r="F14" s="36"/>
      <c r="G14" s="36"/>
    </row>
    <row r="15" spans="1:7" ht="15.75">
      <c r="A15" s="55">
        <v>10</v>
      </c>
      <c r="B15" s="56" t="s">
        <v>14</v>
      </c>
      <c r="C15" s="6">
        <f>6729.58+2767.01+5363.7</f>
        <v>14860.29</v>
      </c>
      <c r="D15" s="6">
        <f>11627.98+5172.55+11549.04</f>
        <v>28349.57</v>
      </c>
      <c r="E15" s="7">
        <f t="shared" si="0"/>
        <v>43209.86</v>
      </c>
      <c r="F15" s="36"/>
      <c r="G15" s="36"/>
    </row>
    <row r="16" spans="1:7" ht="15.75">
      <c r="A16" s="55">
        <v>11</v>
      </c>
      <c r="B16" s="56" t="s">
        <v>15</v>
      </c>
      <c r="C16" s="6">
        <v>14457.81</v>
      </c>
      <c r="D16" s="6">
        <v>23106.1</v>
      </c>
      <c r="E16" s="7">
        <f t="shared" si="0"/>
        <v>37563.909999999996</v>
      </c>
      <c r="F16" s="36"/>
      <c r="G16" s="36"/>
    </row>
    <row r="17" spans="1:7" ht="15.75">
      <c r="A17" s="55">
        <v>12</v>
      </c>
      <c r="B17" s="56" t="s">
        <v>16</v>
      </c>
      <c r="C17" s="6">
        <v>1090.87</v>
      </c>
      <c r="D17" s="6">
        <v>3532.69</v>
      </c>
      <c r="E17" s="7">
        <f t="shared" si="0"/>
        <v>4623.5599999999995</v>
      </c>
      <c r="F17" s="36"/>
      <c r="G17" s="36"/>
    </row>
    <row r="18" spans="1:7" ht="15.75">
      <c r="A18" s="55">
        <v>13</v>
      </c>
      <c r="B18" s="56" t="s">
        <v>17</v>
      </c>
      <c r="C18" s="6">
        <v>4791.97</v>
      </c>
      <c r="D18" s="6">
        <v>21381.91</v>
      </c>
      <c r="E18" s="7">
        <f t="shared" si="0"/>
        <v>26173.88</v>
      </c>
      <c r="F18" s="36"/>
      <c r="G18" s="36"/>
    </row>
    <row r="19" spans="1:7" ht="15.75">
      <c r="A19" s="55">
        <v>14</v>
      </c>
      <c r="B19" s="56" t="s">
        <v>18</v>
      </c>
      <c r="C19" s="6"/>
      <c r="D19" s="6"/>
      <c r="E19" s="7">
        <f t="shared" si="0"/>
        <v>0</v>
      </c>
      <c r="F19" s="36"/>
      <c r="G19" s="36"/>
    </row>
    <row r="20" spans="1:7" ht="15.75">
      <c r="A20" s="55">
        <v>15</v>
      </c>
      <c r="B20" s="56" t="s">
        <v>19</v>
      </c>
      <c r="C20" s="6"/>
      <c r="D20" s="6"/>
      <c r="E20" s="7">
        <f t="shared" si="0"/>
        <v>0</v>
      </c>
      <c r="F20" s="36"/>
      <c r="G20" s="36"/>
    </row>
    <row r="21" spans="1:7" ht="15.75">
      <c r="A21" s="55">
        <v>16</v>
      </c>
      <c r="B21" s="56" t="s">
        <v>20</v>
      </c>
      <c r="C21" s="6"/>
      <c r="D21" s="6"/>
      <c r="E21" s="7">
        <f t="shared" si="0"/>
        <v>0</v>
      </c>
      <c r="F21" s="36"/>
      <c r="G21" s="36"/>
    </row>
    <row r="22" spans="1:7" ht="15.75">
      <c r="A22" s="55">
        <v>17</v>
      </c>
      <c r="B22" s="56" t="s">
        <v>21</v>
      </c>
      <c r="C22" s="6">
        <v>6841.46</v>
      </c>
      <c r="D22" s="6">
        <v>18229.18</v>
      </c>
      <c r="E22" s="7">
        <f t="shared" si="0"/>
        <v>25070.64</v>
      </c>
      <c r="F22" s="36"/>
      <c r="G22" s="36"/>
    </row>
    <row r="23" spans="1:7" ht="15.75">
      <c r="A23" s="55">
        <v>18</v>
      </c>
      <c r="B23" s="56" t="s">
        <v>22</v>
      </c>
      <c r="C23" s="6">
        <f>3179.13+647.95+6664.59+239.08+1994.31</f>
        <v>12725.06</v>
      </c>
      <c r="D23" s="6">
        <f>8077.27+4292.03+13963.33+483.94+1510.74</f>
        <v>28327.309999999998</v>
      </c>
      <c r="E23" s="7">
        <f t="shared" si="0"/>
        <v>41052.369999999995</v>
      </c>
      <c r="F23" s="36"/>
      <c r="G23" s="36"/>
    </row>
    <row r="24" spans="1:7" ht="15.75">
      <c r="A24" s="55">
        <v>19</v>
      </c>
      <c r="B24" s="56" t="s">
        <v>23</v>
      </c>
      <c r="C24" s="6"/>
      <c r="D24" s="6"/>
      <c r="E24" s="7">
        <f t="shared" si="0"/>
        <v>0</v>
      </c>
      <c r="F24" s="36"/>
      <c r="G24" s="36"/>
    </row>
    <row r="25" spans="1:7" ht="15.75">
      <c r="A25" s="55">
        <v>20</v>
      </c>
      <c r="B25" s="56" t="s">
        <v>24</v>
      </c>
      <c r="C25" s="6">
        <v>1375.65</v>
      </c>
      <c r="D25" s="6">
        <v>1063.99</v>
      </c>
      <c r="E25" s="7">
        <f t="shared" si="0"/>
        <v>2439.6400000000003</v>
      </c>
      <c r="F25" s="36"/>
      <c r="G25" s="36"/>
    </row>
    <row r="26" spans="1:7" ht="15.75">
      <c r="A26" s="55">
        <v>21</v>
      </c>
      <c r="B26" s="56" t="s">
        <v>25</v>
      </c>
      <c r="C26" s="6">
        <f>5740.63+1849.9+372.5</f>
        <v>7963.030000000001</v>
      </c>
      <c r="D26" s="6">
        <f>8437.1+3193.78+2205.87</f>
        <v>13836.75</v>
      </c>
      <c r="E26" s="7">
        <f t="shared" si="0"/>
        <v>21799.78</v>
      </c>
      <c r="F26" s="36"/>
      <c r="G26" s="36"/>
    </row>
    <row r="27" spans="1:7" ht="15.75">
      <c r="A27" s="55">
        <v>22</v>
      </c>
      <c r="B27" s="56" t="s">
        <v>26</v>
      </c>
      <c r="C27" s="6">
        <v>5610.22</v>
      </c>
      <c r="D27" s="6">
        <v>11187.99</v>
      </c>
      <c r="E27" s="7">
        <f t="shared" si="0"/>
        <v>16798.21</v>
      </c>
      <c r="F27" s="36"/>
      <c r="G27" s="36"/>
    </row>
    <row r="28" spans="1:7" ht="15.75">
      <c r="A28" s="55">
        <v>23</v>
      </c>
      <c r="B28" s="56" t="s">
        <v>27</v>
      </c>
      <c r="C28" s="6">
        <v>2180.56</v>
      </c>
      <c r="D28" s="6">
        <v>2748.22</v>
      </c>
      <c r="E28" s="7">
        <f t="shared" si="0"/>
        <v>4928.78</v>
      </c>
      <c r="F28" s="36"/>
      <c r="G28" s="36"/>
    </row>
    <row r="29" spans="1:7" ht="15.75">
      <c r="A29" s="55">
        <v>24</v>
      </c>
      <c r="B29" s="56" t="s">
        <v>28</v>
      </c>
      <c r="C29" s="6"/>
      <c r="D29" s="6"/>
      <c r="E29" s="7">
        <f t="shared" si="0"/>
        <v>0</v>
      </c>
      <c r="F29" s="36"/>
      <c r="G29" s="36"/>
    </row>
    <row r="30" spans="1:7" ht="15.75">
      <c r="A30" s="55">
        <v>25</v>
      </c>
      <c r="B30" s="56" t="s">
        <v>29</v>
      </c>
      <c r="C30" s="6">
        <f>4994.79+8521.6+585.83</f>
        <v>14102.22</v>
      </c>
      <c r="D30" s="6">
        <f>7205.75+11728.25+2052.48</f>
        <v>20986.48</v>
      </c>
      <c r="E30" s="7">
        <f t="shared" si="0"/>
        <v>35088.7</v>
      </c>
      <c r="F30" s="36"/>
      <c r="G30" s="36"/>
    </row>
    <row r="31" spans="1:7" ht="15.75">
      <c r="A31" s="55">
        <v>26</v>
      </c>
      <c r="B31" s="56" t="s">
        <v>30</v>
      </c>
      <c r="C31" s="6"/>
      <c r="D31" s="6"/>
      <c r="E31" s="7">
        <f t="shared" si="0"/>
        <v>0</v>
      </c>
      <c r="F31" s="36"/>
      <c r="G31" s="36"/>
    </row>
    <row r="32" spans="1:7" ht="15.75">
      <c r="A32" s="55">
        <v>27</v>
      </c>
      <c r="B32" s="56" t="s">
        <v>40</v>
      </c>
      <c r="C32" s="6">
        <v>679.75</v>
      </c>
      <c r="D32" s="6">
        <v>1052.36</v>
      </c>
      <c r="E32" s="7">
        <f t="shared" si="0"/>
        <v>1732.11</v>
      </c>
      <c r="F32" s="36"/>
      <c r="G32" s="36"/>
    </row>
    <row r="33" spans="1:7" ht="15.75">
      <c r="A33" s="55">
        <v>28</v>
      </c>
      <c r="B33" s="56" t="s">
        <v>41</v>
      </c>
      <c r="C33" s="6">
        <f>1768.14+185.62+247.44+1131.39</f>
        <v>3332.59</v>
      </c>
      <c r="D33" s="6">
        <f>4624.08+877.51+538.87+1435.31</f>
        <v>7475.77</v>
      </c>
      <c r="E33" s="7">
        <f t="shared" si="0"/>
        <v>10808.36</v>
      </c>
      <c r="F33" s="36"/>
      <c r="G33" s="36"/>
    </row>
    <row r="34" spans="1:7" ht="15.75">
      <c r="A34" s="55">
        <v>29</v>
      </c>
      <c r="B34" s="56" t="s">
        <v>42</v>
      </c>
      <c r="C34" s="6">
        <v>17427.34</v>
      </c>
      <c r="D34" s="6">
        <v>30294.54</v>
      </c>
      <c r="E34" s="7">
        <f t="shared" si="0"/>
        <v>47721.880000000005</v>
      </c>
      <c r="F34" s="36"/>
      <c r="G34" s="36"/>
    </row>
    <row r="35" spans="1:7" ht="15.75">
      <c r="A35" s="55">
        <v>30</v>
      </c>
      <c r="B35" s="56" t="s">
        <v>44</v>
      </c>
      <c r="C35" s="6">
        <v>1147.92</v>
      </c>
      <c r="D35" s="6">
        <v>1756.25</v>
      </c>
      <c r="E35" s="7">
        <f t="shared" si="0"/>
        <v>2904.17</v>
      </c>
      <c r="F35" s="36"/>
      <c r="G35" s="36"/>
    </row>
    <row r="36" spans="1:7" ht="15.75">
      <c r="A36" s="55">
        <v>31</v>
      </c>
      <c r="B36" s="56" t="s">
        <v>45</v>
      </c>
      <c r="C36" s="6"/>
      <c r="D36" s="6"/>
      <c r="E36" s="7">
        <f t="shared" si="0"/>
        <v>0</v>
      </c>
      <c r="F36" s="36"/>
      <c r="G36" s="36"/>
    </row>
    <row r="37" spans="1:7" ht="15.75">
      <c r="A37" s="55">
        <v>32</v>
      </c>
      <c r="B37" s="56" t="s">
        <v>47</v>
      </c>
      <c r="C37" s="6"/>
      <c r="D37" s="6"/>
      <c r="E37" s="7">
        <f t="shared" si="0"/>
        <v>0</v>
      </c>
      <c r="F37" s="36"/>
      <c r="G37" s="36"/>
    </row>
    <row r="38" spans="1:7" ht="15.75">
      <c r="A38" s="55">
        <v>33</v>
      </c>
      <c r="B38" s="56" t="s">
        <v>60</v>
      </c>
      <c r="C38" s="6"/>
      <c r="D38" s="6"/>
      <c r="E38" s="7">
        <f t="shared" si="0"/>
        <v>0</v>
      </c>
      <c r="F38" s="36"/>
      <c r="G38" s="36"/>
    </row>
    <row r="39" spans="1:7" ht="15.75">
      <c r="A39" s="55">
        <v>34</v>
      </c>
      <c r="B39" s="56" t="s">
        <v>61</v>
      </c>
      <c r="C39" s="6">
        <v>1207.5</v>
      </c>
      <c r="D39" s="6">
        <v>2623.54</v>
      </c>
      <c r="E39" s="7">
        <f t="shared" si="0"/>
        <v>3831.04</v>
      </c>
      <c r="F39" s="36"/>
      <c r="G39" s="36"/>
    </row>
    <row r="40" spans="1:7" ht="15.75">
      <c r="A40" s="55">
        <v>35</v>
      </c>
      <c r="B40" s="56" t="s">
        <v>71</v>
      </c>
      <c r="C40" s="6">
        <v>299.94</v>
      </c>
      <c r="D40" s="6">
        <v>1124.7</v>
      </c>
      <c r="E40" s="7">
        <f t="shared" si="0"/>
        <v>1424.64</v>
      </c>
      <c r="F40" s="36"/>
      <c r="G40" s="36"/>
    </row>
    <row r="41" spans="1:7" ht="15.75">
      <c r="A41" s="57"/>
      <c r="B41" s="57" t="s">
        <v>31</v>
      </c>
      <c r="C41" s="6">
        <f>SUM(C6:C40)</f>
        <v>271332.41</v>
      </c>
      <c r="D41" s="6">
        <f>SUM(D6:D40)</f>
        <v>558302.8799999999</v>
      </c>
      <c r="E41" s="7">
        <f>SUM(E6:E40)</f>
        <v>829635.2900000002</v>
      </c>
      <c r="F41" s="36"/>
      <c r="G41" s="36"/>
    </row>
    <row r="42" spans="1:7" ht="14.25">
      <c r="A42" s="36"/>
      <c r="B42" s="36"/>
      <c r="C42" s="36"/>
      <c r="D42" s="36"/>
      <c r="E42" s="1"/>
      <c r="F42" s="36"/>
      <c r="G42" s="36"/>
    </row>
    <row r="43" spans="1:7" ht="14.25">
      <c r="A43" s="36"/>
      <c r="B43" s="36"/>
      <c r="C43" s="36"/>
      <c r="D43" s="36"/>
      <c r="E43" s="36"/>
      <c r="F43" s="36"/>
      <c r="G43" s="36"/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41"/>
  <sheetViews>
    <sheetView workbookViewId="0" topLeftCell="A1">
      <selection activeCell="G17" sqref="G17"/>
    </sheetView>
  </sheetViews>
  <sheetFormatPr defaultColWidth="9.140625" defaultRowHeight="12.75"/>
  <cols>
    <col min="2" max="2" width="32.140625" style="0" customWidth="1"/>
    <col min="3" max="3" width="14.421875" style="0" customWidth="1"/>
    <col min="4" max="4" width="13.421875" style="0" bestFit="1" customWidth="1"/>
  </cols>
  <sheetData>
    <row r="3" spans="1:6" ht="15">
      <c r="A3" s="79" t="s">
        <v>89</v>
      </c>
      <c r="B3" s="79"/>
      <c r="C3" s="79"/>
      <c r="D3" s="79"/>
      <c r="E3" s="79"/>
      <c r="F3" s="79"/>
    </row>
    <row r="4" spans="1:6" ht="15">
      <c r="A4" s="82"/>
      <c r="B4" s="82"/>
      <c r="C4" s="82"/>
      <c r="D4" s="82"/>
      <c r="E4" s="82"/>
      <c r="F4" s="36"/>
    </row>
    <row r="5" spans="1:6" ht="31.5">
      <c r="A5" s="50" t="s">
        <v>0</v>
      </c>
      <c r="B5" s="51" t="s">
        <v>1</v>
      </c>
      <c r="C5" s="51" t="s">
        <v>63</v>
      </c>
      <c r="D5" s="51" t="s">
        <v>64</v>
      </c>
      <c r="E5" s="36"/>
      <c r="F5" s="36"/>
    </row>
    <row r="6" spans="1:4" ht="15.75">
      <c r="A6" s="55">
        <v>1</v>
      </c>
      <c r="B6" s="56" t="s">
        <v>6</v>
      </c>
      <c r="C6" s="66">
        <v>14400</v>
      </c>
      <c r="D6" s="66">
        <v>1200</v>
      </c>
    </row>
    <row r="7" spans="1:4" ht="15.75">
      <c r="A7" s="55">
        <v>2</v>
      </c>
      <c r="B7" s="56" t="s">
        <v>7</v>
      </c>
      <c r="C7" s="66">
        <v>1560</v>
      </c>
      <c r="D7" s="66"/>
    </row>
    <row r="8" spans="1:4" ht="15.75">
      <c r="A8" s="55">
        <v>3</v>
      </c>
      <c r="B8" s="56" t="s">
        <v>8</v>
      </c>
      <c r="C8" s="66">
        <v>240</v>
      </c>
      <c r="D8" s="66"/>
    </row>
    <row r="9" spans="1:4" ht="15.75">
      <c r="A9" s="55">
        <v>4</v>
      </c>
      <c r="B9" s="56" t="s">
        <v>9</v>
      </c>
      <c r="C9" s="66">
        <v>780</v>
      </c>
      <c r="D9" s="66"/>
    </row>
    <row r="10" spans="1:4" ht="15.75">
      <c r="A10" s="55">
        <v>5</v>
      </c>
      <c r="B10" s="56" t="s">
        <v>10</v>
      </c>
      <c r="C10" s="66">
        <v>3960</v>
      </c>
      <c r="D10" s="66"/>
    </row>
    <row r="11" spans="1:4" ht="15.75">
      <c r="A11" s="55">
        <v>6</v>
      </c>
      <c r="B11" s="56" t="s">
        <v>11</v>
      </c>
      <c r="C11" s="66">
        <v>12600</v>
      </c>
      <c r="D11" s="66"/>
    </row>
    <row r="12" spans="1:4" ht="15.75">
      <c r="A12" s="55">
        <v>7</v>
      </c>
      <c r="B12" s="56" t="s">
        <v>59</v>
      </c>
      <c r="C12" s="66">
        <v>3960</v>
      </c>
      <c r="D12" s="66"/>
    </row>
    <row r="13" spans="1:4" ht="15.75">
      <c r="A13" s="55">
        <v>8</v>
      </c>
      <c r="B13" s="56" t="s">
        <v>12</v>
      </c>
      <c r="C13" s="66">
        <v>20040</v>
      </c>
      <c r="D13" s="66">
        <v>2520</v>
      </c>
    </row>
    <row r="14" spans="1:4" ht="15.75">
      <c r="A14" s="55">
        <v>9</v>
      </c>
      <c r="B14" s="56" t="s">
        <v>13</v>
      </c>
      <c r="C14" s="66">
        <v>7080</v>
      </c>
      <c r="D14" s="66">
        <v>480</v>
      </c>
    </row>
    <row r="15" spans="1:4" ht="15.75">
      <c r="A15" s="55">
        <v>10</v>
      </c>
      <c r="B15" s="56" t="s">
        <v>14</v>
      </c>
      <c r="C15" s="66">
        <v>8400</v>
      </c>
      <c r="D15" s="66">
        <v>120</v>
      </c>
    </row>
    <row r="16" spans="1:4" ht="15.75">
      <c r="A16" s="55">
        <v>11</v>
      </c>
      <c r="B16" s="56" t="s">
        <v>15</v>
      </c>
      <c r="C16" s="66">
        <v>3420</v>
      </c>
      <c r="D16" s="66"/>
    </row>
    <row r="17" spans="1:4" ht="15.75">
      <c r="A17" s="55">
        <v>12</v>
      </c>
      <c r="B17" s="56" t="s">
        <v>16</v>
      </c>
      <c r="C17" s="66">
        <v>840</v>
      </c>
      <c r="D17" s="66"/>
    </row>
    <row r="18" spans="1:4" ht="15.75">
      <c r="A18" s="55">
        <v>13</v>
      </c>
      <c r="B18" s="56" t="s">
        <v>17</v>
      </c>
      <c r="C18" s="66">
        <v>4920</v>
      </c>
      <c r="D18" s="66"/>
    </row>
    <row r="19" spans="1:4" ht="15.75">
      <c r="A19" s="55">
        <v>14</v>
      </c>
      <c r="B19" s="56" t="s">
        <v>18</v>
      </c>
      <c r="C19" s="66"/>
      <c r="D19" s="66"/>
    </row>
    <row r="20" spans="1:4" ht="15.75">
      <c r="A20" s="55">
        <v>15</v>
      </c>
      <c r="B20" s="56" t="s">
        <v>19</v>
      </c>
      <c r="C20" s="66"/>
      <c r="D20" s="66"/>
    </row>
    <row r="21" spans="1:4" ht="15.75">
      <c r="A21" s="55">
        <v>16</v>
      </c>
      <c r="B21" s="56" t="s">
        <v>20</v>
      </c>
      <c r="C21" s="66"/>
      <c r="D21" s="66"/>
    </row>
    <row r="22" spans="1:4" ht="15.75">
      <c r="A22" s="55">
        <v>17</v>
      </c>
      <c r="B22" s="56" t="s">
        <v>21</v>
      </c>
      <c r="C22" s="66">
        <v>5280</v>
      </c>
      <c r="D22" s="66"/>
    </row>
    <row r="23" spans="1:4" ht="15.75">
      <c r="A23" s="55">
        <v>18</v>
      </c>
      <c r="B23" s="56" t="s">
        <v>22</v>
      </c>
      <c r="C23" s="66">
        <v>4680</v>
      </c>
      <c r="D23" s="66"/>
    </row>
    <row r="24" spans="1:4" ht="15.75">
      <c r="A24" s="55">
        <v>19</v>
      </c>
      <c r="B24" s="56" t="s">
        <v>23</v>
      </c>
      <c r="C24" s="66"/>
      <c r="D24" s="66"/>
    </row>
    <row r="25" spans="1:4" ht="15.75">
      <c r="A25" s="55">
        <v>20</v>
      </c>
      <c r="B25" s="56" t="s">
        <v>24</v>
      </c>
      <c r="C25" s="66">
        <v>240</v>
      </c>
      <c r="D25" s="66"/>
    </row>
    <row r="26" spans="1:4" ht="15.75">
      <c r="A26" s="55">
        <v>21</v>
      </c>
      <c r="B26" s="56" t="s">
        <v>25</v>
      </c>
      <c r="C26" s="66">
        <v>3360</v>
      </c>
      <c r="D26" s="66"/>
    </row>
    <row r="27" spans="1:4" ht="15.75">
      <c r="A27" s="55">
        <v>22</v>
      </c>
      <c r="B27" s="56" t="s">
        <v>26</v>
      </c>
      <c r="C27" s="66">
        <v>2040</v>
      </c>
      <c r="D27" s="66">
        <v>960</v>
      </c>
    </row>
    <row r="28" spans="1:4" ht="15.75">
      <c r="A28" s="55">
        <v>23</v>
      </c>
      <c r="B28" s="56" t="s">
        <v>27</v>
      </c>
      <c r="C28" s="66">
        <v>480</v>
      </c>
      <c r="D28" s="66"/>
    </row>
    <row r="29" spans="1:4" ht="15.75">
      <c r="A29" s="55">
        <v>24</v>
      </c>
      <c r="B29" s="56" t="s">
        <v>28</v>
      </c>
      <c r="C29" s="66"/>
      <c r="D29" s="66"/>
    </row>
    <row r="30" spans="1:4" ht="15.75">
      <c r="A30" s="55">
        <v>25</v>
      </c>
      <c r="B30" s="56" t="s">
        <v>29</v>
      </c>
      <c r="C30" s="66">
        <v>4800</v>
      </c>
      <c r="D30" s="66"/>
    </row>
    <row r="31" spans="1:4" ht="15.75">
      <c r="A31" s="55">
        <v>26</v>
      </c>
      <c r="B31" s="56" t="s">
        <v>30</v>
      </c>
      <c r="C31" s="66"/>
      <c r="D31" s="66"/>
    </row>
    <row r="32" spans="1:4" ht="15.75">
      <c r="A32" s="55">
        <v>27</v>
      </c>
      <c r="B32" s="56" t="s">
        <v>40</v>
      </c>
      <c r="C32" s="66">
        <v>240</v>
      </c>
      <c r="D32" s="66"/>
    </row>
    <row r="33" spans="1:4" ht="15.75">
      <c r="A33" s="55">
        <v>28</v>
      </c>
      <c r="B33" s="56" t="s">
        <v>41</v>
      </c>
      <c r="C33" s="66">
        <v>2400</v>
      </c>
      <c r="D33" s="66"/>
    </row>
    <row r="34" spans="1:4" ht="15.75">
      <c r="A34" s="55">
        <v>29</v>
      </c>
      <c r="B34" s="56" t="s">
        <v>42</v>
      </c>
      <c r="C34" s="66">
        <v>5280</v>
      </c>
      <c r="D34" s="66"/>
    </row>
    <row r="35" spans="1:4" ht="15.75">
      <c r="A35" s="55">
        <v>30</v>
      </c>
      <c r="B35" s="56" t="s">
        <v>44</v>
      </c>
      <c r="C35" s="66">
        <v>360</v>
      </c>
      <c r="D35" s="66"/>
    </row>
    <row r="36" spans="1:4" ht="15.75">
      <c r="A36" s="55">
        <v>31</v>
      </c>
      <c r="B36" s="56" t="s">
        <v>45</v>
      </c>
      <c r="C36" s="66"/>
      <c r="D36" s="66"/>
    </row>
    <row r="37" spans="1:4" ht="15.75">
      <c r="A37" s="55">
        <v>32</v>
      </c>
      <c r="B37" s="56" t="s">
        <v>47</v>
      </c>
      <c r="C37" s="66"/>
      <c r="D37" s="66"/>
    </row>
    <row r="38" spans="1:4" ht="15.75">
      <c r="A38" s="55">
        <v>33</v>
      </c>
      <c r="B38" s="56" t="s">
        <v>60</v>
      </c>
      <c r="C38" s="66"/>
      <c r="D38" s="66"/>
    </row>
    <row r="39" spans="1:4" ht="15.75">
      <c r="A39" s="55">
        <v>34</v>
      </c>
      <c r="B39" s="56" t="s">
        <v>61</v>
      </c>
      <c r="C39" s="66">
        <v>480</v>
      </c>
      <c r="D39" s="66"/>
    </row>
    <row r="40" spans="1:4" ht="15.75">
      <c r="A40" s="55">
        <v>35</v>
      </c>
      <c r="B40" s="56" t="s">
        <v>71</v>
      </c>
      <c r="C40" s="66">
        <v>240</v>
      </c>
      <c r="D40" s="66"/>
    </row>
    <row r="41" spans="1:4" ht="15.75">
      <c r="A41" s="57"/>
      <c r="B41" s="57" t="s">
        <v>31</v>
      </c>
      <c r="C41" s="67">
        <f>SUM(C6:C40)</f>
        <v>112080</v>
      </c>
      <c r="D41" s="67">
        <f>SUM(D6:D40)</f>
        <v>5280</v>
      </c>
    </row>
  </sheetData>
  <mergeCells count="2">
    <mergeCell ref="A4:E4"/>
    <mergeCell ref="A3:F3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41"/>
  <sheetViews>
    <sheetView view="pageBreakPreview" zoomScale="60" workbookViewId="0" topLeftCell="A1">
      <selection activeCell="C42" sqref="C42"/>
    </sheetView>
  </sheetViews>
  <sheetFormatPr defaultColWidth="9.140625" defaultRowHeight="12.75"/>
  <cols>
    <col min="2" max="2" width="36.8515625" style="0" bestFit="1" customWidth="1"/>
    <col min="3" max="3" width="16.8515625" style="0" customWidth="1"/>
    <col min="9" max="9" width="16.57421875" style="0" customWidth="1"/>
  </cols>
  <sheetData>
    <row r="2" spans="1:5" ht="12.75">
      <c r="A2" s="60"/>
      <c r="B2" s="60"/>
      <c r="C2" s="60"/>
      <c r="D2" s="60"/>
      <c r="E2" s="60"/>
    </row>
    <row r="3" spans="1:5" ht="15">
      <c r="A3" s="61" t="s">
        <v>84</v>
      </c>
      <c r="B3" s="61"/>
      <c r="C3" s="61"/>
      <c r="D3" s="61"/>
      <c r="E3" s="61"/>
    </row>
    <row r="4" spans="1:5" ht="14.25">
      <c r="A4" s="36"/>
      <c r="B4" s="36"/>
      <c r="C4" s="36"/>
      <c r="D4" s="36"/>
      <c r="E4" s="36"/>
    </row>
    <row r="5" spans="1:5" ht="47.25">
      <c r="A5" s="50" t="s">
        <v>0</v>
      </c>
      <c r="B5" s="51" t="s">
        <v>1</v>
      </c>
      <c r="C5" s="51" t="s">
        <v>66</v>
      </c>
      <c r="D5" s="36"/>
      <c r="E5" s="36"/>
    </row>
    <row r="6" spans="1:3" ht="15.75">
      <c r="A6" s="55">
        <v>1</v>
      </c>
      <c r="B6" s="56" t="s">
        <v>6</v>
      </c>
      <c r="C6" s="66">
        <v>35098.51</v>
      </c>
    </row>
    <row r="7" spans="1:3" ht="15.75">
      <c r="A7" s="55">
        <v>2</v>
      </c>
      <c r="B7" s="56" t="s">
        <v>7</v>
      </c>
      <c r="C7" s="66"/>
    </row>
    <row r="8" spans="1:3" ht="15.75">
      <c r="A8" s="55">
        <v>3</v>
      </c>
      <c r="B8" s="56" t="s">
        <v>8</v>
      </c>
      <c r="C8" s="66"/>
    </row>
    <row r="9" spans="1:3" ht="15.75">
      <c r="A9" s="55">
        <v>4</v>
      </c>
      <c r="B9" s="56" t="s">
        <v>9</v>
      </c>
      <c r="C9" s="66"/>
    </row>
    <row r="10" spans="1:3" ht="15.75">
      <c r="A10" s="55">
        <v>5</v>
      </c>
      <c r="B10" s="56" t="s">
        <v>10</v>
      </c>
      <c r="C10" s="66"/>
    </row>
    <row r="11" spans="1:3" ht="15.75">
      <c r="A11" s="55">
        <v>6</v>
      </c>
      <c r="B11" s="56" t="s">
        <v>11</v>
      </c>
      <c r="C11" s="66"/>
    </row>
    <row r="12" spans="1:3" ht="15.75">
      <c r="A12" s="55">
        <v>7</v>
      </c>
      <c r="B12" s="56" t="s">
        <v>59</v>
      </c>
      <c r="C12" s="66">
        <v>65461.96</v>
      </c>
    </row>
    <row r="13" spans="1:3" ht="15.75">
      <c r="A13" s="55">
        <v>8</v>
      </c>
      <c r="B13" s="56" t="s">
        <v>12</v>
      </c>
      <c r="C13" s="66">
        <v>93337.16</v>
      </c>
    </row>
    <row r="14" spans="1:3" ht="15.75">
      <c r="A14" s="55">
        <v>9</v>
      </c>
      <c r="B14" s="56" t="s">
        <v>13</v>
      </c>
      <c r="C14" s="66">
        <v>13426.33</v>
      </c>
    </row>
    <row r="15" spans="1:3" ht="15.75">
      <c r="A15" s="55">
        <v>10</v>
      </c>
      <c r="B15" s="56" t="s">
        <v>14</v>
      </c>
      <c r="C15" s="66"/>
    </row>
    <row r="16" spans="1:3" ht="15.75">
      <c r="A16" s="55">
        <v>11</v>
      </c>
      <c r="B16" s="56" t="s">
        <v>15</v>
      </c>
      <c r="C16" s="66"/>
    </row>
    <row r="17" spans="1:3" ht="15.75">
      <c r="A17" s="55">
        <v>12</v>
      </c>
      <c r="B17" s="56" t="s">
        <v>16</v>
      </c>
      <c r="C17" s="66"/>
    </row>
    <row r="18" spans="1:3" ht="15.75">
      <c r="A18" s="55">
        <v>13</v>
      </c>
      <c r="B18" s="56" t="s">
        <v>17</v>
      </c>
      <c r="C18" s="66"/>
    </row>
    <row r="19" spans="1:3" ht="15.75">
      <c r="A19" s="55">
        <v>14</v>
      </c>
      <c r="B19" s="56" t="s">
        <v>18</v>
      </c>
      <c r="C19" s="66"/>
    </row>
    <row r="20" spans="1:3" ht="15.75">
      <c r="A20" s="55">
        <v>15</v>
      </c>
      <c r="B20" s="56" t="s">
        <v>19</v>
      </c>
      <c r="C20" s="66"/>
    </row>
    <row r="21" spans="1:3" ht="15.75">
      <c r="A21" s="55">
        <v>16</v>
      </c>
      <c r="B21" s="56" t="s">
        <v>20</v>
      </c>
      <c r="C21" s="66"/>
    </row>
    <row r="22" spans="1:3" ht="15.75">
      <c r="A22" s="55">
        <v>17</v>
      </c>
      <c r="B22" s="56" t="s">
        <v>21</v>
      </c>
      <c r="C22" s="66"/>
    </row>
    <row r="23" spans="1:3" ht="15.75">
      <c r="A23" s="55">
        <v>18</v>
      </c>
      <c r="B23" s="56" t="s">
        <v>22</v>
      </c>
      <c r="C23" s="66"/>
    </row>
    <row r="24" spans="1:3" ht="15.75">
      <c r="A24" s="55">
        <v>19</v>
      </c>
      <c r="B24" s="56" t="s">
        <v>23</v>
      </c>
      <c r="C24" s="66"/>
    </row>
    <row r="25" spans="1:3" ht="15.75">
      <c r="A25" s="55">
        <v>20</v>
      </c>
      <c r="B25" s="56" t="s">
        <v>24</v>
      </c>
      <c r="C25" s="66"/>
    </row>
    <row r="26" spans="1:3" ht="15.75">
      <c r="A26" s="55">
        <v>21</v>
      </c>
      <c r="B26" s="56" t="s">
        <v>25</v>
      </c>
      <c r="C26" s="66"/>
    </row>
    <row r="27" spans="1:3" ht="15.75">
      <c r="A27" s="55">
        <v>22</v>
      </c>
      <c r="B27" s="56" t="s">
        <v>26</v>
      </c>
      <c r="C27" s="66">
        <v>72649.94</v>
      </c>
    </row>
    <row r="28" spans="1:3" ht="15.75">
      <c r="A28" s="55">
        <v>23</v>
      </c>
      <c r="B28" s="56" t="s">
        <v>27</v>
      </c>
      <c r="C28" s="66"/>
    </row>
    <row r="29" spans="1:3" ht="15.75">
      <c r="A29" s="55">
        <v>24</v>
      </c>
      <c r="B29" s="56" t="s">
        <v>28</v>
      </c>
      <c r="C29" s="66"/>
    </row>
    <row r="30" spans="1:3" ht="15.75">
      <c r="A30" s="55">
        <v>25</v>
      </c>
      <c r="B30" s="56" t="s">
        <v>29</v>
      </c>
      <c r="C30" s="66"/>
    </row>
    <row r="31" spans="1:3" ht="15.75">
      <c r="A31" s="55">
        <v>26</v>
      </c>
      <c r="B31" s="56" t="s">
        <v>30</v>
      </c>
      <c r="C31" s="66"/>
    </row>
    <row r="32" spans="1:3" ht="15.75">
      <c r="A32" s="55">
        <v>27</v>
      </c>
      <c r="B32" s="56" t="s">
        <v>40</v>
      </c>
      <c r="C32" s="66"/>
    </row>
    <row r="33" spans="1:3" ht="15.75">
      <c r="A33" s="55">
        <v>28</v>
      </c>
      <c r="B33" s="56" t="s">
        <v>41</v>
      </c>
      <c r="C33" s="66">
        <v>13426.33</v>
      </c>
    </row>
    <row r="34" spans="1:3" ht="15.75">
      <c r="A34" s="55">
        <v>29</v>
      </c>
      <c r="B34" s="56" t="s">
        <v>42</v>
      </c>
      <c r="C34" s="66"/>
    </row>
    <row r="35" spans="1:3" ht="15.75">
      <c r="A35" s="55">
        <v>30</v>
      </c>
      <c r="B35" s="56" t="s">
        <v>44</v>
      </c>
      <c r="C35" s="66"/>
    </row>
    <row r="36" spans="1:3" ht="15.75">
      <c r="A36" s="55">
        <v>31</v>
      </c>
      <c r="B36" s="56" t="s">
        <v>45</v>
      </c>
      <c r="C36" s="66"/>
    </row>
    <row r="37" spans="1:3" ht="15.75">
      <c r="A37" s="55">
        <v>32</v>
      </c>
      <c r="B37" s="56" t="s">
        <v>47</v>
      </c>
      <c r="C37" s="66"/>
    </row>
    <row r="38" spans="1:3" ht="15.75">
      <c r="A38" s="55">
        <v>33</v>
      </c>
      <c r="B38" s="56" t="s">
        <v>60</v>
      </c>
      <c r="C38" s="66"/>
    </row>
    <row r="39" spans="1:3" ht="15.75">
      <c r="A39" s="55">
        <v>34</v>
      </c>
      <c r="B39" s="56" t="s">
        <v>61</v>
      </c>
      <c r="C39" s="66"/>
    </row>
    <row r="40" spans="1:3" ht="15.75">
      <c r="A40" s="55">
        <v>35</v>
      </c>
      <c r="B40" s="56" t="s">
        <v>71</v>
      </c>
      <c r="C40" s="66"/>
    </row>
    <row r="41" spans="1:3" ht="15.75">
      <c r="A41" s="57"/>
      <c r="B41" s="57" t="s">
        <v>31</v>
      </c>
      <c r="C41" s="67">
        <f>SUM(C6:C40)</f>
        <v>293400.23000000004</v>
      </c>
    </row>
  </sheetData>
  <printOptions/>
  <pageMargins left="0.75" right="0.75" top="1" bottom="1" header="0.5" footer="0.5"/>
  <pageSetup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E41"/>
  <sheetViews>
    <sheetView workbookViewId="0" topLeftCell="A1">
      <selection activeCell="D40" sqref="D40"/>
    </sheetView>
  </sheetViews>
  <sheetFormatPr defaultColWidth="9.140625" defaultRowHeight="12.75"/>
  <cols>
    <col min="2" max="2" width="28.8515625" style="0" customWidth="1"/>
    <col min="3" max="3" width="16.28125" style="0" customWidth="1"/>
    <col min="5" max="5" width="29.00390625" style="0" customWidth="1"/>
  </cols>
  <sheetData>
    <row r="3" spans="1:5" ht="15">
      <c r="A3" s="83" t="s">
        <v>83</v>
      </c>
      <c r="B3" s="83"/>
      <c r="C3" s="83"/>
      <c r="D3" s="83"/>
      <c r="E3" s="83"/>
    </row>
    <row r="4" spans="1:5" ht="14.25">
      <c r="A4" s="36"/>
      <c r="B4" s="36"/>
      <c r="C4" s="38"/>
      <c r="D4" s="1"/>
      <c r="E4" s="1"/>
    </row>
    <row r="5" spans="1:5" ht="15.75">
      <c r="A5" s="50" t="s">
        <v>0</v>
      </c>
      <c r="B5" s="51" t="s">
        <v>1</v>
      </c>
      <c r="C5" s="51" t="s">
        <v>69</v>
      </c>
      <c r="D5" s="36"/>
      <c r="E5" s="36"/>
    </row>
    <row r="6" spans="1:5" ht="15.75">
      <c r="A6" s="55">
        <v>1</v>
      </c>
      <c r="B6" s="56" t="s">
        <v>6</v>
      </c>
      <c r="C6" s="6">
        <v>102422.88</v>
      </c>
      <c r="D6" s="36"/>
      <c r="E6" s="36"/>
    </row>
    <row r="7" spans="1:5" ht="15.75">
      <c r="A7" s="55">
        <v>2</v>
      </c>
      <c r="B7" s="56" t="s">
        <v>7</v>
      </c>
      <c r="C7" s="6"/>
      <c r="D7" s="36"/>
      <c r="E7" s="36"/>
    </row>
    <row r="8" spans="1:3" ht="15.75">
      <c r="A8" s="55">
        <v>3</v>
      </c>
      <c r="B8" s="56" t="s">
        <v>8</v>
      </c>
      <c r="C8" s="66">
        <v>137.19</v>
      </c>
    </row>
    <row r="9" spans="1:3" ht="15.75">
      <c r="A9" s="55">
        <v>4</v>
      </c>
      <c r="B9" s="56" t="s">
        <v>9</v>
      </c>
      <c r="C9" s="66">
        <v>1318.38</v>
      </c>
    </row>
    <row r="10" spans="1:3" ht="15.75">
      <c r="A10" s="55">
        <v>5</v>
      </c>
      <c r="B10" s="56" t="s">
        <v>10</v>
      </c>
      <c r="C10" s="66">
        <v>8316.42</v>
      </c>
    </row>
    <row r="11" spans="1:3" ht="15.75">
      <c r="A11" s="55">
        <v>6</v>
      </c>
      <c r="B11" s="56" t="s">
        <v>11</v>
      </c>
      <c r="C11" s="66">
        <v>1205.02</v>
      </c>
    </row>
    <row r="12" spans="1:3" ht="15.75">
      <c r="A12" s="55">
        <v>7</v>
      </c>
      <c r="B12" s="56" t="s">
        <v>59</v>
      </c>
      <c r="C12" s="66">
        <v>2772.75</v>
      </c>
    </row>
    <row r="13" spans="1:3" ht="15.75">
      <c r="A13" s="55">
        <v>8</v>
      </c>
      <c r="B13" s="56" t="s">
        <v>12</v>
      </c>
      <c r="C13" s="66">
        <v>152979.83</v>
      </c>
    </row>
    <row r="14" spans="1:3" ht="15.75">
      <c r="A14" s="55">
        <v>9</v>
      </c>
      <c r="B14" s="56" t="s">
        <v>13</v>
      </c>
      <c r="C14" s="66">
        <v>1361.26</v>
      </c>
    </row>
    <row r="15" spans="1:3" ht="15.75">
      <c r="A15" s="55">
        <v>10</v>
      </c>
      <c r="B15" s="56" t="s">
        <v>14</v>
      </c>
      <c r="C15" s="66">
        <v>18364.69</v>
      </c>
    </row>
    <row r="16" spans="1:3" ht="15.75">
      <c r="A16" s="55">
        <v>11</v>
      </c>
      <c r="B16" s="56" t="s">
        <v>15</v>
      </c>
      <c r="C16" s="66">
        <v>458.65</v>
      </c>
    </row>
    <row r="17" spans="1:3" ht="15.75">
      <c r="A17" s="55">
        <v>12</v>
      </c>
      <c r="B17" s="56" t="s">
        <v>16</v>
      </c>
      <c r="C17" s="66">
        <v>735.24</v>
      </c>
    </row>
    <row r="18" spans="1:3" ht="15.75">
      <c r="A18" s="55">
        <v>13</v>
      </c>
      <c r="B18" s="56" t="s">
        <v>17</v>
      </c>
      <c r="C18" s="66">
        <v>616.05</v>
      </c>
    </row>
    <row r="19" spans="1:3" ht="15.75">
      <c r="A19" s="55">
        <v>14</v>
      </c>
      <c r="B19" s="56" t="s">
        <v>18</v>
      </c>
      <c r="C19" s="66"/>
    </row>
    <row r="20" spans="1:3" ht="15.75">
      <c r="A20" s="55">
        <v>15</v>
      </c>
      <c r="B20" s="56" t="s">
        <v>19</v>
      </c>
      <c r="C20" s="66"/>
    </row>
    <row r="21" spans="1:3" ht="15.75">
      <c r="A21" s="55">
        <v>16</v>
      </c>
      <c r="B21" s="56" t="s">
        <v>20</v>
      </c>
      <c r="C21" s="66"/>
    </row>
    <row r="22" spans="1:3" ht="15.75">
      <c r="A22" s="55">
        <v>17</v>
      </c>
      <c r="B22" s="56" t="s">
        <v>21</v>
      </c>
      <c r="C22" s="66">
        <v>634.92</v>
      </c>
    </row>
    <row r="23" spans="1:3" ht="15.75">
      <c r="A23" s="55">
        <v>18</v>
      </c>
      <c r="B23" s="56" t="s">
        <v>22</v>
      </c>
      <c r="C23" s="66">
        <v>1155.27</v>
      </c>
    </row>
    <row r="24" spans="1:3" ht="15.75">
      <c r="A24" s="55">
        <v>19</v>
      </c>
      <c r="B24" s="56" t="s">
        <v>23</v>
      </c>
      <c r="C24" s="66"/>
    </row>
    <row r="25" spans="1:3" ht="15.75">
      <c r="A25" s="55">
        <v>20</v>
      </c>
      <c r="B25" s="56" t="s">
        <v>24</v>
      </c>
      <c r="C25" s="66"/>
    </row>
    <row r="26" spans="1:3" ht="15.75">
      <c r="A26" s="55">
        <v>21</v>
      </c>
      <c r="B26" s="56" t="s">
        <v>25</v>
      </c>
      <c r="C26" s="66">
        <v>156937.59</v>
      </c>
    </row>
    <row r="27" spans="1:3" ht="15.75">
      <c r="A27" s="55">
        <v>22</v>
      </c>
      <c r="B27" s="56" t="s">
        <v>26</v>
      </c>
      <c r="C27" s="66">
        <v>120.02</v>
      </c>
    </row>
    <row r="28" spans="1:3" ht="15.75">
      <c r="A28" s="55">
        <v>23</v>
      </c>
      <c r="B28" s="56" t="s">
        <v>27</v>
      </c>
      <c r="C28" s="66"/>
    </row>
    <row r="29" spans="1:3" ht="15.75">
      <c r="A29" s="55">
        <v>24</v>
      </c>
      <c r="B29" s="56" t="s">
        <v>28</v>
      </c>
      <c r="C29" s="66"/>
    </row>
    <row r="30" spans="1:3" ht="15.75">
      <c r="A30" s="55">
        <v>25</v>
      </c>
      <c r="B30" s="56" t="s">
        <v>29</v>
      </c>
      <c r="C30" s="66">
        <v>34631.92</v>
      </c>
    </row>
    <row r="31" spans="1:3" ht="15.75">
      <c r="A31" s="55">
        <v>26</v>
      </c>
      <c r="B31" s="56" t="s">
        <v>30</v>
      </c>
      <c r="C31" s="66">
        <v>15440.84</v>
      </c>
    </row>
    <row r="32" spans="1:3" ht="15.75">
      <c r="A32" s="55">
        <v>27</v>
      </c>
      <c r="B32" s="56" t="s">
        <v>40</v>
      </c>
      <c r="C32" s="66"/>
    </row>
    <row r="33" spans="1:3" ht="15.75">
      <c r="A33" s="55">
        <v>28</v>
      </c>
      <c r="B33" s="56" t="s">
        <v>41</v>
      </c>
      <c r="C33" s="66">
        <v>750.05</v>
      </c>
    </row>
    <row r="34" spans="1:3" ht="15.75">
      <c r="A34" s="55">
        <v>29</v>
      </c>
      <c r="B34" s="56" t="s">
        <v>42</v>
      </c>
      <c r="C34" s="66">
        <v>831.87</v>
      </c>
    </row>
    <row r="35" spans="1:3" ht="15.75">
      <c r="A35" s="55">
        <v>30</v>
      </c>
      <c r="B35" s="56" t="s">
        <v>44</v>
      </c>
      <c r="C35" s="66"/>
    </row>
    <row r="36" spans="1:3" ht="15.75">
      <c r="A36" s="55">
        <v>31</v>
      </c>
      <c r="B36" s="56" t="s">
        <v>45</v>
      </c>
      <c r="C36" s="66"/>
    </row>
    <row r="37" spans="1:3" ht="15.75">
      <c r="A37" s="55">
        <v>32</v>
      </c>
      <c r="B37" s="56" t="s">
        <v>47</v>
      </c>
      <c r="C37" s="66"/>
    </row>
    <row r="38" spans="1:3" ht="15.75">
      <c r="A38" s="55">
        <v>33</v>
      </c>
      <c r="B38" s="56" t="s">
        <v>60</v>
      </c>
      <c r="C38" s="66">
        <v>128.04</v>
      </c>
    </row>
    <row r="39" spans="1:3" ht="15.75">
      <c r="A39" s="55">
        <v>34</v>
      </c>
      <c r="B39" s="56" t="s">
        <v>61</v>
      </c>
      <c r="C39" s="66">
        <v>982.48</v>
      </c>
    </row>
    <row r="40" spans="1:3" ht="15.75">
      <c r="A40" s="55">
        <v>35</v>
      </c>
      <c r="B40" s="56" t="s">
        <v>71</v>
      </c>
      <c r="C40" s="66"/>
    </row>
    <row r="41" spans="1:3" ht="15.75">
      <c r="A41" s="57"/>
      <c r="B41" s="57" t="s">
        <v>31</v>
      </c>
      <c r="C41" s="67">
        <f>SUM(C6:C40)</f>
        <v>502301.36</v>
      </c>
    </row>
  </sheetData>
  <mergeCells count="1">
    <mergeCell ref="A3:E3"/>
  </mergeCells>
  <printOptions/>
  <pageMargins left="0.75" right="0.75" top="1" bottom="1" header="0.5" footer="0.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HP_03</cp:lastModifiedBy>
  <cp:lastPrinted>2020-10-21T08:46:44Z</cp:lastPrinted>
  <dcterms:created xsi:type="dcterms:W3CDTF">2011-06-30T06:54:46Z</dcterms:created>
  <dcterms:modified xsi:type="dcterms:W3CDTF">2021-02-22T07:35:21Z</dcterms:modified>
  <cp:category/>
  <cp:version/>
  <cp:contentType/>
  <cp:contentStatus/>
</cp:coreProperties>
</file>